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旧" sheetId="4" r:id="rId1"/>
    <sheet name="新" sheetId="1" r:id="rId2"/>
    <sheet name="Sheet2" sheetId="2" r:id="rId3"/>
  </sheets>
  <definedNames>
    <definedName name="_xlnm._FilterDatabase" localSheetId="0" hidden="1">旧!$A$16:$Q$278</definedName>
    <definedName name="_xlnm._FilterDatabase" localSheetId="1" hidden="1">新!$A$18:$Q$239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cw05</author>
  </authors>
  <commentList>
    <comment ref="L269" authorId="0">
      <text>
        <r>
          <rPr>
            <sz val="9"/>
            <rFont val="宋体"/>
            <charset val="134"/>
          </rPr>
          <t>cw09:
水利印花已交</t>
        </r>
      </text>
    </comment>
    <comment ref="A271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73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M2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合同最终金额以实际结算量为准</t>
        </r>
      </text>
    </comment>
    <comment ref="M24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合同最终金额以实际结算价为准</t>
        </r>
      </text>
    </comment>
    <comment ref="L286" authorId="1">
      <text>
        <r>
          <rPr>
            <sz val="9"/>
            <rFont val="宋体"/>
            <charset val="134"/>
          </rPr>
          <t>cw09:
水利印花已交</t>
        </r>
      </text>
    </comment>
    <comment ref="N286" authorId="0">
      <text>
        <r>
          <rPr>
            <b/>
            <sz val="9"/>
            <rFont val="宋体"/>
            <charset val="134"/>
          </rPr>
          <t>cw05:</t>
        </r>
      </text>
    </comment>
    <comment ref="M28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其中包含2021/6/15发现漏登记的两笔进项发票168000+211500（总计税额是19327.43+24331.86=43659.29
</t>
        </r>
      </text>
    </comment>
    <comment ref="A28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29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M29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异地已预缴973.1元印花税</t>
        </r>
      </text>
    </comment>
  </commentList>
</comments>
</file>

<file path=xl/sharedStrings.xml><?xml version="1.0" encoding="utf-8"?>
<sst xmlns="http://schemas.openxmlformats.org/spreadsheetml/2006/main" count="1730" uniqueCount="306">
  <si>
    <t>宁强县铁锁关至胡家坝黄土岭公路改建工程</t>
  </si>
  <si>
    <t>中标日期</t>
  </si>
  <si>
    <t>中标价</t>
  </si>
  <si>
    <t>负责人</t>
  </si>
  <si>
    <t>建设单位</t>
  </si>
  <si>
    <t>宁强县交通运输局</t>
  </si>
  <si>
    <t>企税0.6%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</si>
  <si>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</si>
  <si>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</si>
  <si>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</si>
  <si>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</si>
  <si>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</si>
  <si>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</si>
  <si>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</si>
  <si>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</si>
  <si>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</si>
  <si>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 xml:space="preserve"> 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</si>
  <si>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</si>
  <si>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</si>
  <si>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</si>
  <si>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</si>
  <si>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</si>
  <si>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</si>
  <si>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</si>
  <si>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</si>
  <si>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</si>
  <si>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</si>
  <si>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</si>
  <si>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</si>
  <si>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</si>
  <si>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</si>
  <si>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</si>
  <si>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</si>
  <si>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</si>
  <si>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</si>
  <si>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</si>
  <si>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</si>
  <si>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</si>
  <si>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易冬明</t>
  </si>
  <si>
    <t xml:space="preserve"> 金融服务</t>
  </si>
  <si>
    <t>19-3-</t>
  </si>
  <si>
    <t>中国人民财产保险股份有限公司陕西省分公司</t>
  </si>
  <si>
    <t>徽行</t>
  </si>
  <si>
    <t>王林</t>
  </si>
  <si>
    <t>中国人民财产保险股份有限公司汉中市分公司</t>
  </si>
  <si>
    <t>保费</t>
  </si>
  <si>
    <t>陕西省宁强县金盛石油化工有限公司</t>
  </si>
  <si>
    <t>柴油</t>
  </si>
  <si>
    <t>19-4-</t>
  </si>
  <si>
    <t>柴油32986.642升*4.76</t>
  </si>
  <si>
    <t>柴油4444.44升</t>
  </si>
  <si>
    <t>汉中市蓝盾爆破工程有限公司</t>
  </si>
  <si>
    <t xml:space="preserve"> 汉中市钢友工贸有限公司</t>
  </si>
  <si>
    <t>普</t>
  </si>
  <si>
    <t>19-5-</t>
  </si>
  <si>
    <t>爆破服务</t>
  </si>
  <si>
    <t>柴油35121.94升</t>
  </si>
  <si>
    <t>陕西汉中鹏龙中联之星汽车贸易有限公司</t>
  </si>
  <si>
    <t>维修费</t>
  </si>
  <si>
    <t>盛源旧货商行</t>
  </si>
  <si>
    <t>椅子</t>
  </si>
  <si>
    <t>宁强县胡家坝天池加油站、中石化卷票</t>
  </si>
  <si>
    <t>汽油</t>
  </si>
  <si>
    <t>中石化卷票</t>
  </si>
  <si>
    <t>汉中市汉台区北一环路科力达测绘试验仪器服务部、陕西省汉中交通试验检测咨询有限责任公司、勉县恒昌钢丝绳起重物资经营部等</t>
  </si>
  <si>
    <t>零星采购</t>
  </si>
  <si>
    <t>香格里拉大酒店（西安）有限公司</t>
  </si>
  <si>
    <t>住宿费</t>
  </si>
  <si>
    <t>汉中市汉台区北一环路科力达测绘试验仪器服务部</t>
  </si>
  <si>
    <t>巡易通对讲机</t>
  </si>
  <si>
    <t>勉县诚信电机综合修理部</t>
  </si>
  <si>
    <t>修理电机</t>
  </si>
  <si>
    <t>汉中市汉台区新桥五金机电市场人民电工五金经销部</t>
  </si>
  <si>
    <t>电线电缆</t>
  </si>
  <si>
    <t>汉台区北一环路英豪轮胎店</t>
  </si>
  <si>
    <t>轮胎</t>
  </si>
  <si>
    <t>勉县三力士三角带销售店</t>
  </si>
  <si>
    <t>三角带</t>
  </si>
  <si>
    <t>勉县宏申五金经营部</t>
  </si>
  <si>
    <t>焊条、螺丝</t>
  </si>
  <si>
    <t>150试模</t>
  </si>
  <si>
    <t>勉县宏鑫物资经营部</t>
  </si>
  <si>
    <t>槽钢4支*266.99钢筋20支、钢板0.833吨、槽钢1支</t>
  </si>
  <si>
    <t>加油站</t>
  </si>
  <si>
    <t>卷票加普票</t>
  </si>
  <si>
    <t>陕西金汇海测绘有限公司</t>
  </si>
  <si>
    <t>测绘费</t>
  </si>
  <si>
    <t>汉中海裕达汽车有限责任公司</t>
  </si>
  <si>
    <t>车辆维修费</t>
  </si>
  <si>
    <t>修电机滚筒</t>
  </si>
  <si>
    <t>修电机线圈、换轴承</t>
  </si>
  <si>
    <t>勉县汉鑫钢材经销部</t>
  </si>
  <si>
    <t>钢板</t>
  </si>
  <si>
    <t>汉台区石马坡兴达矿山设备经销部</t>
  </si>
  <si>
    <t>配件</t>
  </si>
  <si>
    <t>钢板16MM0.425*4360、5mm0.221吨*4368.93</t>
  </si>
  <si>
    <t>勉县全鑫五金机电设备店</t>
  </si>
  <si>
    <t>焊机1台*2233、焊线40米*2.33、焊条506.3件*135.922</t>
  </si>
  <si>
    <t>汉中市汉台区北一环路小张塑料制品经营部</t>
  </si>
  <si>
    <t>农膜1*388.34、桶1*334</t>
  </si>
  <si>
    <t>勉县陆氏水暖建材经销部</t>
  </si>
  <si>
    <t>活接50.5个*19.4、pe直接50.10个*3.88、pe管50.200米*9.78</t>
  </si>
  <si>
    <t>三角带32条</t>
  </si>
  <si>
    <t>螺丝、头灯手套</t>
  </si>
  <si>
    <t>汉中圣博商贸有限责任公司</t>
  </si>
  <si>
    <t>考勤机、施工日志、文件袋</t>
  </si>
  <si>
    <t>过路费</t>
  </si>
  <si>
    <t>加油票</t>
  </si>
  <si>
    <t>汉中市钢友工贸有限公司</t>
  </si>
  <si>
    <t>螺纹钢10.238吨*3600、盘螺7.59*3686吨</t>
  </si>
  <si>
    <t>陕西鼎维实业有限公司</t>
  </si>
  <si>
    <t>运输</t>
  </si>
  <si>
    <t>汉中恒信丰田汽车销售服务有限公司</t>
  </si>
  <si>
    <t>插卡对讲机</t>
  </si>
  <si>
    <t>汉台区运达建材家具城诚进灯饰行</t>
  </si>
  <si>
    <t>碘坞灯</t>
  </si>
  <si>
    <t>试膜、对讲机</t>
  </si>
  <si>
    <t>试验机械</t>
  </si>
  <si>
    <t>陕西省汉中交通试验检测咨询有限责任公司</t>
  </si>
  <si>
    <t>试验费</t>
  </si>
  <si>
    <t>洗耳球、标准砂</t>
  </si>
  <si>
    <t>酸式滴定管</t>
  </si>
  <si>
    <t>宁强县胡家坝镇黄坤五金店</t>
  </si>
  <si>
    <t>五金百货</t>
  </si>
  <si>
    <t>复印纸</t>
  </si>
  <si>
    <t>机械租赁</t>
  </si>
  <si>
    <t xml:space="preserve">运输费  </t>
  </si>
  <si>
    <t>岚皋县国平机械破碎锤服务部</t>
  </si>
  <si>
    <t>140破碎锤</t>
  </si>
  <si>
    <t>螺纹钢23.25吨</t>
  </si>
  <si>
    <t>陕西力源仪器设备检测有限公司</t>
  </si>
  <si>
    <t>检测费</t>
  </si>
  <si>
    <t>汉中市汉台区七里精达工程配件部</t>
  </si>
  <si>
    <t>油缸总成、挖机链条液压油、润滑油</t>
  </si>
  <si>
    <t>中</t>
  </si>
  <si>
    <t>材料款退回</t>
  </si>
  <si>
    <t>钢筋</t>
  </si>
  <si>
    <t>汉中中瑞民用爆炸物品有限责任公司</t>
  </si>
  <si>
    <t>炸药</t>
  </si>
  <si>
    <t>勉县华美物资有限公司</t>
  </si>
  <si>
    <t>钢板7块</t>
  </si>
  <si>
    <t>汉中晨光商贸有限公司</t>
  </si>
  <si>
    <t>、笔袋等</t>
  </si>
  <si>
    <t>汉中书市汉台区科汇办公设备有限责任公司</t>
  </si>
  <si>
    <t>硒鼓、</t>
  </si>
  <si>
    <t>南京大饭店（北京）有限公司</t>
  </si>
  <si>
    <t>汉中东方禾元酒店管理有限公司</t>
  </si>
  <si>
    <t>宁强县胡家坝天池加油站</t>
  </si>
  <si>
    <t>彩旗</t>
  </si>
  <si>
    <t>汉中鼎固机械设备有限公司</t>
  </si>
  <si>
    <t>油水分离器、枪头等</t>
  </si>
  <si>
    <t>机油、齿轮油</t>
  </si>
  <si>
    <t>绳子</t>
  </si>
  <si>
    <t>汉台区劳动东路闵盛物资供应站</t>
  </si>
  <si>
    <t>pe管</t>
  </si>
  <si>
    <t>熊铭</t>
  </si>
  <si>
    <t>鞋子</t>
  </si>
  <si>
    <t>汉台区五金机电市场诚信钢丝绳经营部</t>
  </si>
  <si>
    <t>钢丝绳</t>
  </si>
  <si>
    <t>劳务</t>
  </si>
  <si>
    <t>宁强县亨达采石场</t>
  </si>
  <si>
    <t>碎石</t>
  </si>
  <si>
    <t>宋涛</t>
  </si>
  <si>
    <t>土石方运输</t>
  </si>
  <si>
    <t>电机</t>
  </si>
  <si>
    <t>汉中市汉台区虎桥商贸城小范塑料制品经营部</t>
  </si>
  <si>
    <t>密目网</t>
  </si>
  <si>
    <t>汉台区劳动东路闽盛物资供应站</t>
  </si>
  <si>
    <t>加油泵</t>
  </si>
  <si>
    <t>脚架</t>
  </si>
  <si>
    <t>勉县恒昌钢丝绳起重物资经营部</t>
  </si>
  <si>
    <t>卡头钢丝绳</t>
  </si>
  <si>
    <t>线圈</t>
  </si>
  <si>
    <t>汉台市汉台区七里精达工程配件部</t>
  </si>
  <si>
    <t>链条</t>
  </si>
  <si>
    <t>附收据</t>
  </si>
  <si>
    <t>汉台区小军塑料制品经营部</t>
  </si>
  <si>
    <t>椎桶</t>
  </si>
  <si>
    <t>刀板</t>
  </si>
  <si>
    <t>汉台区新桥五金机电市场福州五金店</t>
  </si>
  <si>
    <t>螺栓</t>
  </si>
  <si>
    <t>汉台区天正物资供应处</t>
  </si>
  <si>
    <t>配电箱</t>
  </si>
  <si>
    <t>汉中经济开发区鼎辉矿山机械修理部</t>
  </si>
  <si>
    <t>震动电机</t>
  </si>
  <si>
    <t xml:space="preserve">过路费  </t>
  </si>
  <si>
    <t>勉县新鸿森商贸有限公司</t>
  </si>
  <si>
    <t>水泥1384吨</t>
  </si>
  <si>
    <t>钢筋20吨</t>
  </si>
  <si>
    <t>爆破费用</t>
  </si>
  <si>
    <t>普代</t>
  </si>
  <si>
    <t>碳粉等</t>
  </si>
  <si>
    <t>机油、彩旗等</t>
  </si>
  <si>
    <t>汉中南霖园景建材有限公司</t>
  </si>
  <si>
    <t>方木</t>
  </si>
  <si>
    <t>汉中市星辉达商贸有限公司</t>
  </si>
  <si>
    <t>塑料制品</t>
  </si>
  <si>
    <t>宁强县海恩打印部</t>
  </si>
  <si>
    <t>文具、墨盒等</t>
  </si>
  <si>
    <t>中国石化销售股份有限公司陕西汉中石油分公司</t>
  </si>
  <si>
    <t>油料</t>
  </si>
  <si>
    <t>柴油15764.706升</t>
  </si>
  <si>
    <t>汉中瑞顺工程机械有限公司</t>
  </si>
  <si>
    <t>勉县宁强华美物资有限公司</t>
  </si>
  <si>
    <t>角钢热镀管31根</t>
  </si>
  <si>
    <t>勉县温泉建材有限责任公司</t>
  </si>
  <si>
    <t>排水管77根</t>
  </si>
  <si>
    <t>印刷费</t>
  </si>
  <si>
    <t>住宿费、车票等</t>
  </si>
  <si>
    <t>宁强县宁东磊工程机械有限公司</t>
  </si>
  <si>
    <t>劳务；建筑服务</t>
  </si>
  <si>
    <t>片石粗砂</t>
  </si>
  <si>
    <t>汉中正泰电器有限公司</t>
  </si>
  <si>
    <t>空开、电容柜</t>
  </si>
  <si>
    <t xml:space="preserve">钻头、断路器、钢丝绳、链条、油缸总成、标志牌 </t>
  </si>
  <si>
    <t>螺纹钢17.9吨</t>
  </si>
  <si>
    <t>所属期10月</t>
  </si>
  <si>
    <t>汉中书蓝盾爆破工程有限公司</t>
  </si>
  <si>
    <t>建筑施工劳务费</t>
  </si>
  <si>
    <t>柴油38258.311升</t>
  </si>
  <si>
    <t>陕西鼎新机械设备有限公司、勉县华美物资</t>
  </si>
  <si>
    <t>钢板、轮胎、</t>
  </si>
  <si>
    <t>水泥1416吨</t>
  </si>
  <si>
    <t>有</t>
  </si>
  <si>
    <t>退回</t>
  </si>
  <si>
    <t>机械</t>
  </si>
  <si>
    <t>建筑用沙土4000吨</t>
  </si>
  <si>
    <t>螺纹钢24.37吨</t>
  </si>
  <si>
    <t>柴油90999.449升</t>
  </si>
  <si>
    <t>张荣兰</t>
  </si>
  <si>
    <t>安装水管工资</t>
  </si>
  <si>
    <t>有收据</t>
  </si>
  <si>
    <t>勉县温泉建材有限责任公司36根钢筋混凝土排水管、勉县华美物资有限公司扁钢20支</t>
  </si>
  <si>
    <t>住宿费、办公用品</t>
  </si>
  <si>
    <t>发动机、修理费、铲车配件、滚动轴承、螺丝、砖头、电费</t>
  </si>
  <si>
    <t>轴承、稳压器、钻头、等</t>
  </si>
  <si>
    <t>风机管道1套、护板28块、反击锤12个、钢板3.块、合金 钢板3.392吨、、模板100张、方木200根、齿轮油126升、滤清器70个、</t>
  </si>
  <si>
    <t>运输费</t>
  </si>
  <si>
    <t>石子</t>
  </si>
  <si>
    <t>其他砂石骨料</t>
  </si>
  <si>
    <t>2020.03.26收</t>
  </si>
  <si>
    <t>税代开普</t>
  </si>
  <si>
    <t>机械费</t>
  </si>
  <si>
    <t>加油费</t>
  </si>
  <si>
    <t>油费</t>
  </si>
  <si>
    <t>陕西省宁强县金盛石油化工有限公司19.35吨</t>
  </si>
  <si>
    <t>2019-355# 3840000元</t>
  </si>
  <si>
    <t>2019-515#  5195810元</t>
  </si>
  <si>
    <t>2019-167#</t>
  </si>
  <si>
    <t>退</t>
  </si>
  <si>
    <t>前期暂扣企税（已全部退完）</t>
  </si>
  <si>
    <t>2次</t>
  </si>
  <si>
    <t>扣</t>
  </si>
  <si>
    <t>财务手续费</t>
  </si>
  <si>
    <t>暂扣</t>
  </si>
  <si>
    <t>企税（成本不够）</t>
  </si>
  <si>
    <t>企税0.6%（2021.1月开票扣税）</t>
  </si>
  <si>
    <t>增值税及附加（2021.1月开票扣税）</t>
  </si>
  <si>
    <t>13次</t>
  </si>
  <si>
    <t>收</t>
  </si>
  <si>
    <t>20.4.1王林转徽行</t>
  </si>
  <si>
    <t>12次</t>
  </si>
  <si>
    <t>项目部章月租费</t>
  </si>
  <si>
    <t>20.1月开票增值税及附加</t>
  </si>
  <si>
    <t>手续费</t>
  </si>
  <si>
    <t>6次</t>
  </si>
  <si>
    <t>质安巡查费</t>
  </si>
  <si>
    <t>19.10月开票增值税及附加</t>
  </si>
  <si>
    <t>之前暂扣企税</t>
  </si>
  <si>
    <t xml:space="preserve">企税 </t>
  </si>
  <si>
    <t>增值税及附加（7月开票扣税）</t>
  </si>
  <si>
    <t>代办费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</si>
  <si>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</si>
  <si>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</si>
  <si>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</si>
  <si>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</si>
  <si>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</si>
  <si>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</si>
  <si>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</si>
  <si>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19.7月开票扣税</t>
  </si>
  <si>
    <t>19.10月开票扣税</t>
  </si>
  <si>
    <t>20.1月开票扣税</t>
  </si>
  <si>
    <t>2021.1月开票扣税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</si>
  <si>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</si>
  <si>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</si>
  <si>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</si>
  <si>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</si>
  <si>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</si>
  <si>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</si>
  <si>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</si>
  <si>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</si>
  <si>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</si>
  <si>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</si>
  <si>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企税（成本不够暂扣）</t>
  </si>
  <si>
    <t>19.7月份吴总同意开票</t>
  </si>
  <si>
    <t>新中行</t>
  </si>
  <si>
    <t>中粗砂1550t、片石4000t、砂砾料2500t、碎石1600t</t>
  </si>
  <si>
    <t>2019-167#2857000</t>
  </si>
  <si>
    <t>机械租赁费</t>
  </si>
  <si>
    <t>材料款</t>
  </si>
  <si>
    <t>增值税及附加（2021年6月开票扣税）</t>
  </si>
  <si>
    <t>调整</t>
  </si>
  <si>
    <t>成本表与支付表一致</t>
  </si>
  <si>
    <t>2021.6月开票扣税</t>
  </si>
  <si>
    <t>0.0003</t>
  </si>
  <si>
    <t>开票应缴纳税款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</si>
</sst>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yy/m/d;@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6" borderId="16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24" fillId="27" borderId="2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75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left"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14" fontId="6" fillId="0" borderId="0" xfId="0" applyNumberFormat="1" applyFont="1"/>
    <xf numFmtId="176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9" fontId="3" fillId="0" borderId="1" xfId="1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6" fontId="3" fillId="4" borderId="3" xfId="0" applyNumberFormat="1" applyFont="1" applyFill="1" applyBorder="1" applyAlignment="1">
      <alignment vertical="center"/>
    </xf>
    <xf numFmtId="178" fontId="3" fillId="0" borderId="5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left" vertical="center"/>
    </xf>
    <xf numFmtId="177" fontId="2" fillId="0" borderId="7" xfId="0" applyNumberFormat="1" applyFont="1" applyBorder="1" applyAlignment="1">
      <alignment horizontal="left" vertical="center"/>
    </xf>
    <xf numFmtId="178" fontId="2" fillId="0" borderId="8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77" fontId="5" fillId="0" borderId="0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9" fontId="3" fillId="5" borderId="1" xfId="11" applyNumberFormat="1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8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9" fontId="3" fillId="3" borderId="1" xfId="11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top" wrapText="1"/>
    </xf>
    <xf numFmtId="176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76" fontId="3" fillId="0" borderId="1" xfId="0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top" wrapText="1"/>
    </xf>
    <xf numFmtId="178" fontId="2" fillId="3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 applyProtection="1">
      <alignment horizontal="left" vertical="center" wrapText="1"/>
    </xf>
    <xf numFmtId="0" fontId="4" fillId="0" borderId="8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5" borderId="1" xfId="11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vertical="center"/>
    </xf>
    <xf numFmtId="9" fontId="2" fillId="5" borderId="1" xfId="11" applyFont="1" applyFill="1" applyBorder="1" applyAlignment="1">
      <alignment horizontal="center" vertical="center"/>
    </xf>
    <xf numFmtId="176" fontId="4" fillId="4" borderId="3" xfId="0" applyNumberFormat="1" applyFont="1" applyFill="1" applyBorder="1" applyAlignment="1">
      <alignment vertical="center"/>
    </xf>
    <xf numFmtId="178" fontId="2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Border="1" applyAlignment="1">
      <alignment vertical="center"/>
    </xf>
    <xf numFmtId="176" fontId="2" fillId="3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6" fontId="2" fillId="3" borderId="1" xfId="0" applyNumberFormat="1" applyFont="1" applyFill="1" applyBorder="1" applyAlignment="1">
      <alignment horizontal="left" vertical="center"/>
    </xf>
    <xf numFmtId="176" fontId="2" fillId="6" borderId="1" xfId="0" applyNumberFormat="1" applyFont="1" applyFill="1" applyBorder="1" applyAlignment="1">
      <alignment horizontal="left" vertical="center"/>
    </xf>
    <xf numFmtId="176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left" vertical="center"/>
    </xf>
    <xf numFmtId="177" fontId="1" fillId="7" borderId="1" xfId="0" applyNumberFormat="1" applyFont="1" applyFill="1" applyBorder="1" applyAlignment="1">
      <alignment horizontal="left" vertical="center"/>
    </xf>
    <xf numFmtId="177" fontId="1" fillId="7" borderId="1" xfId="0" applyNumberFormat="1" applyFont="1" applyFill="1" applyBorder="1" applyAlignment="1">
      <alignment horizontal="center" vertical="center"/>
    </xf>
    <xf numFmtId="177" fontId="1" fillId="7" borderId="0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left" vertical="center"/>
    </xf>
    <xf numFmtId="176" fontId="2" fillId="7" borderId="1" xfId="0" applyNumberFormat="1" applyFont="1" applyFill="1" applyBorder="1" applyAlignment="1">
      <alignment vertical="center"/>
    </xf>
    <xf numFmtId="176" fontId="1" fillId="0" borderId="4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left" vertical="center"/>
    </xf>
    <xf numFmtId="10" fontId="2" fillId="0" borderId="1" xfId="0" applyNumberFormat="1" applyFont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vertical="center"/>
    </xf>
    <xf numFmtId="177" fontId="1" fillId="3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3" fillId="4" borderId="3" xfId="0" applyNumberFormat="1" applyFont="1" applyFill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77" fontId="2" fillId="4" borderId="3" xfId="0" applyNumberFormat="1" applyFont="1" applyFill="1" applyBorder="1" applyAlignment="1">
      <alignment vertical="center"/>
    </xf>
    <xf numFmtId="179" fontId="4" fillId="0" borderId="1" xfId="0" applyNumberFormat="1" applyFont="1" applyBorder="1" applyAlignment="1">
      <alignment horizontal="center" vertical="center"/>
    </xf>
    <xf numFmtId="177" fontId="4" fillId="4" borderId="3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top" wrapText="1"/>
    </xf>
    <xf numFmtId="176" fontId="2" fillId="0" borderId="1" xfId="0" applyNumberFormat="1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top" wrapText="1"/>
    </xf>
    <xf numFmtId="0" fontId="4" fillId="0" borderId="0" xfId="0" applyFont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1" fillId="7" borderId="1" xfId="0" applyNumberFormat="1" applyFont="1" applyFill="1" applyBorder="1" applyAlignment="1">
      <alignment vertical="center"/>
    </xf>
    <xf numFmtId="177" fontId="2" fillId="7" borderId="1" xfId="0" applyNumberFormat="1" applyFont="1" applyFill="1" applyBorder="1" applyAlignment="1">
      <alignment horizontal="left" vertical="center"/>
    </xf>
    <xf numFmtId="177" fontId="2" fillId="7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6"/>
  <sheetViews>
    <sheetView topLeftCell="A260" workbookViewId="0">
      <selection activeCell="I270" sqref="I270"/>
    </sheetView>
  </sheetViews>
  <sheetFormatPr defaultColWidth="9" defaultRowHeight="11.25"/>
  <cols>
    <col min="1" max="1" width="10.75" style="14" customWidth="1"/>
    <col min="2" max="2" width="13.125" style="15" customWidth="1"/>
    <col min="3" max="3" width="6" style="16" customWidth="1"/>
    <col min="4" max="4" width="13.375" style="16" customWidth="1"/>
    <col min="5" max="5" width="10" style="16" customWidth="1"/>
    <col min="6" max="6" width="13.125" style="15" customWidth="1"/>
    <col min="7" max="7" width="14.125" style="15" customWidth="1"/>
    <col min="8" max="8" width="14.875" style="16" customWidth="1"/>
    <col min="9" max="9" width="13.875" style="17" customWidth="1"/>
    <col min="10" max="10" width="6.125" style="18" customWidth="1"/>
    <col min="11" max="11" width="31.5" style="19" customWidth="1"/>
    <col min="12" max="12" width="18.375" style="19" customWidth="1"/>
    <col min="13" max="13" width="6" style="19" customWidth="1"/>
    <col min="14" max="14" width="5.625" style="19" customWidth="1"/>
    <col min="15" max="15" width="9" style="19"/>
    <col min="16" max="16" width="9.625" style="19"/>
    <col min="17" max="16384" width="9" style="19"/>
  </cols>
  <sheetData>
    <row r="1" ht="21.95" customHeight="1" spans="1:12">
      <c r="A1" s="20" t="s">
        <v>0</v>
      </c>
      <c r="B1" s="20"/>
      <c r="C1" s="20"/>
      <c r="D1" s="20"/>
      <c r="E1" s="20"/>
      <c r="F1" s="21"/>
      <c r="G1" s="21"/>
      <c r="H1" s="20"/>
      <c r="I1" s="50"/>
      <c r="J1" s="20"/>
      <c r="K1" s="29"/>
      <c r="L1" s="29"/>
    </row>
    <row r="2" ht="18" customHeight="1" spans="1:15">
      <c r="A2" s="22" t="s">
        <v>1</v>
      </c>
      <c r="B2" s="23">
        <v>43433</v>
      </c>
      <c r="C2" s="24" t="s">
        <v>2</v>
      </c>
      <c r="D2" s="24">
        <v>20902300.43</v>
      </c>
      <c r="E2" s="7" t="s">
        <v>3</v>
      </c>
      <c r="F2" s="25"/>
      <c r="G2" s="26" t="s">
        <v>4</v>
      </c>
      <c r="H2" s="27" t="s">
        <v>5</v>
      </c>
      <c r="I2" s="51"/>
      <c r="J2" s="52"/>
      <c r="K2" s="29"/>
      <c r="L2" s="29"/>
      <c r="O2" s="53" t="s">
        <v>6</v>
      </c>
    </row>
    <row r="3" ht="18" customHeight="1" spans="1:12">
      <c r="A3" s="22" t="s">
        <v>7</v>
      </c>
      <c r="B3" s="28"/>
      <c r="C3" s="24" t="s">
        <v>8</v>
      </c>
      <c r="D3" s="24"/>
      <c r="H3" s="29"/>
      <c r="I3" s="54"/>
      <c r="J3" s="29"/>
      <c r="K3" s="29"/>
      <c r="L3" s="29"/>
    </row>
    <row r="4" ht="18" customHeight="1" spans="1:12">
      <c r="A4" s="14" t="s">
        <v>9</v>
      </c>
      <c r="H4" s="29"/>
      <c r="I4" s="54"/>
      <c r="J4" s="29"/>
      <c r="K4" s="29"/>
      <c r="L4" s="29"/>
    </row>
    <row r="5" ht="18" customHeight="1" spans="1:12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55"/>
      <c r="J5" s="1"/>
      <c r="L5" s="19" t="s">
        <v>16</v>
      </c>
    </row>
    <row r="6" ht="18" customHeight="1" spans="1:10">
      <c r="A6" s="2"/>
      <c r="B6" s="3"/>
      <c r="C6" s="2" t="s">
        <v>17</v>
      </c>
      <c r="D6" s="2" t="s">
        <v>18</v>
      </c>
      <c r="E6" s="2" t="s">
        <v>17</v>
      </c>
      <c r="F6" s="3" t="s">
        <v>18</v>
      </c>
      <c r="G6" s="3"/>
      <c r="H6" s="1" t="s">
        <v>19</v>
      </c>
      <c r="I6" s="55" t="s">
        <v>20</v>
      </c>
      <c r="J6" s="1" t="s">
        <v>21</v>
      </c>
    </row>
    <row r="7" ht="18" customHeight="1" spans="1:10">
      <c r="A7" s="30">
        <v>43662</v>
      </c>
      <c r="B7" s="8">
        <f t="shared" ref="B7:B12" si="0">G7/(1+C7+E7)</f>
        <v>5141661.23853211</v>
      </c>
      <c r="C7" s="31">
        <v>0.02</v>
      </c>
      <c r="D7" s="148">
        <f t="shared" ref="D7:D12" si="1">G7/(1+E7+C7)*C7</f>
        <v>102833.224770642</v>
      </c>
      <c r="E7" s="31">
        <v>0.07</v>
      </c>
      <c r="F7" s="8">
        <f t="shared" ref="F7:F12" si="2">G7/(1+C7+E7)*E7</f>
        <v>359916.286697248</v>
      </c>
      <c r="G7" s="149">
        <v>5604410.75</v>
      </c>
      <c r="H7" s="30">
        <v>43614</v>
      </c>
      <c r="I7" s="146">
        <v>1400000</v>
      </c>
      <c r="J7" s="57" t="s">
        <v>22</v>
      </c>
    </row>
    <row r="8" ht="18" customHeight="1" spans="1:10">
      <c r="A8" s="30">
        <v>43746</v>
      </c>
      <c r="B8" s="8">
        <f t="shared" si="0"/>
        <v>2813377.97247706</v>
      </c>
      <c r="C8" s="31">
        <v>0.02</v>
      </c>
      <c r="D8" s="148">
        <f t="shared" si="1"/>
        <v>56267.5594495413</v>
      </c>
      <c r="E8" s="31">
        <v>0.07</v>
      </c>
      <c r="F8" s="8">
        <f t="shared" si="2"/>
        <v>196936.458073394</v>
      </c>
      <c r="G8" s="149">
        <v>3066581.99</v>
      </c>
      <c r="H8" s="30">
        <v>43614</v>
      </c>
      <c r="I8" s="146">
        <v>690230.04</v>
      </c>
      <c r="J8" s="57" t="s">
        <v>22</v>
      </c>
    </row>
    <row r="9" ht="18" customHeight="1" spans="1:12">
      <c r="A9" s="30"/>
      <c r="B9" s="8">
        <f t="shared" si="0"/>
        <v>0</v>
      </c>
      <c r="C9" s="31">
        <v>0.02</v>
      </c>
      <c r="D9" s="148">
        <f t="shared" si="1"/>
        <v>0</v>
      </c>
      <c r="E9" s="31">
        <v>0.07</v>
      </c>
      <c r="F9" s="8">
        <f t="shared" si="2"/>
        <v>0</v>
      </c>
      <c r="G9" s="149"/>
      <c r="H9" s="30">
        <v>43677</v>
      </c>
      <c r="I9" s="146">
        <v>5116057.89</v>
      </c>
      <c r="J9" s="57" t="s">
        <v>22</v>
      </c>
      <c r="L9" s="19">
        <f>I14-G14</f>
        <v>-1380623.8</v>
      </c>
    </row>
    <row r="10" ht="18" customHeight="1" spans="1:10">
      <c r="A10" s="30">
        <v>43839</v>
      </c>
      <c r="B10" s="8">
        <f t="shared" si="0"/>
        <v>4349123.95412844</v>
      </c>
      <c r="C10" s="31">
        <v>0.02</v>
      </c>
      <c r="D10" s="148">
        <f t="shared" si="1"/>
        <v>86982.4790825688</v>
      </c>
      <c r="E10" s="31">
        <v>0.07</v>
      </c>
      <c r="F10" s="8">
        <f t="shared" si="2"/>
        <v>304438.676788991</v>
      </c>
      <c r="G10" s="149">
        <v>4740545.11</v>
      </c>
      <c r="H10" s="30">
        <v>43781</v>
      </c>
      <c r="I10" s="146">
        <v>1000000</v>
      </c>
      <c r="J10" s="57" t="s">
        <v>22</v>
      </c>
    </row>
    <row r="11" ht="18" customHeight="1" spans="1:12">
      <c r="A11" s="30">
        <v>44208</v>
      </c>
      <c r="B11" s="8">
        <f t="shared" si="0"/>
        <v>3069963.03669725</v>
      </c>
      <c r="C11" s="31">
        <v>0.02</v>
      </c>
      <c r="D11" s="148">
        <f t="shared" si="1"/>
        <v>61399.260733945</v>
      </c>
      <c r="E11" s="31">
        <v>0.07</v>
      </c>
      <c r="F11" s="8">
        <f t="shared" si="2"/>
        <v>214897.412568807</v>
      </c>
      <c r="G11" s="149">
        <v>3346259.71</v>
      </c>
      <c r="H11" s="30">
        <v>43808</v>
      </c>
      <c r="I11" s="146">
        <v>1341194.91</v>
      </c>
      <c r="J11" s="57" t="s">
        <v>22</v>
      </c>
      <c r="L11" s="19" t="s">
        <v>16</v>
      </c>
    </row>
    <row r="12" ht="18" customHeight="1" spans="1:10">
      <c r="A12" s="30"/>
      <c r="B12" s="8">
        <f t="shared" si="0"/>
        <v>0</v>
      </c>
      <c r="C12" s="31"/>
      <c r="D12" s="148">
        <f t="shared" si="1"/>
        <v>0</v>
      </c>
      <c r="E12" s="31"/>
      <c r="F12" s="8">
        <f t="shared" si="2"/>
        <v>0</v>
      </c>
      <c r="G12" s="149"/>
      <c r="H12" s="30">
        <v>43846</v>
      </c>
      <c r="I12" s="146">
        <v>3413192.48</v>
      </c>
      <c r="J12" s="57" t="s">
        <v>22</v>
      </c>
    </row>
    <row r="13" ht="18" customHeight="1" spans="1:10">
      <c r="A13" s="30"/>
      <c r="B13" s="8"/>
      <c r="C13" s="31"/>
      <c r="D13" s="148"/>
      <c r="E13" s="31"/>
      <c r="F13" s="8"/>
      <c r="G13" s="149"/>
      <c r="H13" s="30">
        <v>44225</v>
      </c>
      <c r="I13" s="146">
        <v>2416498.44</v>
      </c>
      <c r="J13" s="57" t="s">
        <v>22</v>
      </c>
    </row>
    <row r="14" ht="18" customHeight="1" spans="1:10">
      <c r="A14" s="4" t="s">
        <v>23</v>
      </c>
      <c r="B14" s="150">
        <f t="shared" ref="B14:G14" si="3">SUM(B7:B12)</f>
        <v>15374126.2018349</v>
      </c>
      <c r="C14" s="39"/>
      <c r="D14" s="151">
        <f t="shared" si="3"/>
        <v>307482.524036697</v>
      </c>
      <c r="E14" s="39"/>
      <c r="F14" s="5">
        <f t="shared" si="3"/>
        <v>1076188.83412844</v>
      </c>
      <c r="G14" s="151">
        <f t="shared" si="3"/>
        <v>16757797.56</v>
      </c>
      <c r="H14" s="41"/>
      <c r="I14" s="55">
        <f>SUM(I7:I13)</f>
        <v>15377173.76</v>
      </c>
      <c r="J14" s="41"/>
    </row>
    <row r="15" ht="18" customHeight="1" spans="1:12">
      <c r="A15" s="14" t="s">
        <v>24</v>
      </c>
      <c r="J15" s="16"/>
      <c r="K15" s="16"/>
      <c r="L15" s="18"/>
    </row>
    <row r="16" ht="18" customHeight="1" spans="1:15">
      <c r="A16" s="9" t="s">
        <v>25</v>
      </c>
      <c r="B16" s="3" t="s">
        <v>26</v>
      </c>
      <c r="C16" s="2" t="s">
        <v>27</v>
      </c>
      <c r="D16" s="2" t="s">
        <v>28</v>
      </c>
      <c r="E16" s="2" t="s">
        <v>17</v>
      </c>
      <c r="F16" s="3" t="s">
        <v>29</v>
      </c>
      <c r="G16" s="3" t="s">
        <v>14</v>
      </c>
      <c r="H16" s="2" t="s">
        <v>30</v>
      </c>
      <c r="I16" s="55" t="s">
        <v>31</v>
      </c>
      <c r="J16" s="2" t="s">
        <v>21</v>
      </c>
      <c r="K16" s="59" t="s">
        <v>32</v>
      </c>
      <c r="L16" s="1" t="s">
        <v>33</v>
      </c>
      <c r="M16" s="1" t="s">
        <v>34</v>
      </c>
      <c r="N16" s="1" t="s">
        <v>35</v>
      </c>
      <c r="O16" s="1" t="s">
        <v>36</v>
      </c>
    </row>
    <row r="17" s="10" customFormat="1" ht="18" customHeight="1" spans="1:15">
      <c r="A17" s="42">
        <v>43552</v>
      </c>
      <c r="B17" s="28">
        <f t="shared" ref="B17:B20" si="4">ROUND(G17/(1+E17),2)</f>
        <v>39438.68</v>
      </c>
      <c r="C17" s="43"/>
      <c r="D17" s="44" t="s">
        <v>37</v>
      </c>
      <c r="E17" s="45">
        <v>0.06</v>
      </c>
      <c r="F17" s="28">
        <f t="shared" ref="F17:F20" si="5">ROUND(G17/(1+E17)*E17,2)</f>
        <v>2366.32</v>
      </c>
      <c r="G17" s="149">
        <v>41805</v>
      </c>
      <c r="H17" s="73"/>
      <c r="I17" s="153"/>
      <c r="J17" s="154"/>
      <c r="K17" s="62" t="s">
        <v>38</v>
      </c>
      <c r="L17" s="63" t="s">
        <v>39</v>
      </c>
      <c r="M17" s="64"/>
      <c r="N17" s="64"/>
      <c r="O17" s="63"/>
    </row>
    <row r="18" s="10" customFormat="1" ht="18" customHeight="1" spans="1:15">
      <c r="A18" s="42"/>
      <c r="B18" s="28">
        <f t="shared" si="4"/>
        <v>0</v>
      </c>
      <c r="C18" s="43"/>
      <c r="D18" s="44"/>
      <c r="E18" s="45"/>
      <c r="F18" s="28">
        <f t="shared" si="5"/>
        <v>0</v>
      </c>
      <c r="G18" s="152"/>
      <c r="H18" s="74" t="s">
        <v>40</v>
      </c>
      <c r="I18" s="155">
        <v>62707</v>
      </c>
      <c r="J18" s="156" t="s">
        <v>22</v>
      </c>
      <c r="K18" s="67" t="s">
        <v>41</v>
      </c>
      <c r="L18" s="63"/>
      <c r="M18" s="64"/>
      <c r="N18" s="64"/>
      <c r="O18" s="63"/>
    </row>
    <row r="19" s="10" customFormat="1" ht="18" customHeight="1" spans="1:15">
      <c r="A19" s="42"/>
      <c r="B19" s="28"/>
      <c r="C19" s="43"/>
      <c r="D19" s="44"/>
      <c r="E19" s="45"/>
      <c r="F19" s="28"/>
      <c r="G19" s="152"/>
      <c r="H19" s="74" t="s">
        <v>40</v>
      </c>
      <c r="I19" s="155">
        <v>-62707</v>
      </c>
      <c r="J19" s="156" t="s">
        <v>42</v>
      </c>
      <c r="K19" s="67" t="s">
        <v>43</v>
      </c>
      <c r="L19" s="63"/>
      <c r="M19" s="64"/>
      <c r="N19" s="64"/>
      <c r="O19" s="63"/>
    </row>
    <row r="20" s="10" customFormat="1" ht="18" customHeight="1" spans="1:15">
      <c r="A20" s="42">
        <v>43556</v>
      </c>
      <c r="B20" s="28">
        <f t="shared" si="4"/>
        <v>108738.68</v>
      </c>
      <c r="C20" s="43"/>
      <c r="D20" s="44" t="s">
        <v>37</v>
      </c>
      <c r="E20" s="45">
        <v>0.06</v>
      </c>
      <c r="F20" s="28">
        <f t="shared" si="5"/>
        <v>6524.32</v>
      </c>
      <c r="G20" s="152">
        <f>62707+49581.13+2974.87</f>
        <v>115263</v>
      </c>
      <c r="H20" s="74" t="s">
        <v>40</v>
      </c>
      <c r="I20" s="155">
        <v>52556</v>
      </c>
      <c r="J20" s="156" t="s">
        <v>22</v>
      </c>
      <c r="K20" s="67" t="s">
        <v>44</v>
      </c>
      <c r="L20" s="63" t="s">
        <v>45</v>
      </c>
      <c r="M20" s="64"/>
      <c r="N20" s="64"/>
      <c r="O20" s="63"/>
    </row>
    <row r="21" s="10" customFormat="1" ht="18" customHeight="1" spans="1:15">
      <c r="A21" s="42"/>
      <c r="B21" s="28"/>
      <c r="C21" s="43"/>
      <c r="D21" s="44"/>
      <c r="E21" s="45"/>
      <c r="F21" s="28"/>
      <c r="G21" s="152"/>
      <c r="H21" s="74" t="s">
        <v>40</v>
      </c>
      <c r="I21" s="155">
        <v>-52556</v>
      </c>
      <c r="J21" s="156" t="s">
        <v>42</v>
      </c>
      <c r="K21" s="67" t="s">
        <v>43</v>
      </c>
      <c r="L21" s="63"/>
      <c r="M21" s="64"/>
      <c r="N21" s="64"/>
      <c r="O21" s="63"/>
    </row>
    <row r="22" s="10" customFormat="1" ht="18" customHeight="1" spans="1:15">
      <c r="A22" s="42">
        <v>43556</v>
      </c>
      <c r="B22" s="28">
        <f t="shared" ref="B22:B26" si="6">ROUND(G22/(1+E22),2)</f>
        <v>27796.55</v>
      </c>
      <c r="C22" s="43"/>
      <c r="D22" s="44" t="s">
        <v>37</v>
      </c>
      <c r="E22" s="45">
        <v>0.16</v>
      </c>
      <c r="F22" s="28">
        <f t="shared" ref="F22:F26" si="7">ROUND(G22/(1+E22)*E22,2)</f>
        <v>4447.45</v>
      </c>
      <c r="G22" s="152">
        <f>22244+10000</f>
        <v>32244</v>
      </c>
      <c r="H22" s="74" t="s">
        <v>40</v>
      </c>
      <c r="I22" s="155">
        <v>89600</v>
      </c>
      <c r="J22" s="156" t="s">
        <v>22</v>
      </c>
      <c r="K22" s="67" t="s">
        <v>46</v>
      </c>
      <c r="L22" s="63" t="s">
        <v>47</v>
      </c>
      <c r="M22" s="64"/>
      <c r="N22" s="64"/>
      <c r="O22" s="63"/>
    </row>
    <row r="23" s="10" customFormat="1" ht="18" customHeight="1" spans="1:15">
      <c r="A23" s="42"/>
      <c r="B23" s="28"/>
      <c r="C23" s="43"/>
      <c r="D23" s="44"/>
      <c r="E23" s="45"/>
      <c r="F23" s="28"/>
      <c r="G23" s="152"/>
      <c r="H23" s="74" t="s">
        <v>40</v>
      </c>
      <c r="I23" s="155">
        <v>-89600</v>
      </c>
      <c r="J23" s="156" t="s">
        <v>42</v>
      </c>
      <c r="K23" s="67" t="s">
        <v>43</v>
      </c>
      <c r="L23" s="63"/>
      <c r="M23" s="64"/>
      <c r="N23" s="64"/>
      <c r="O23" s="63"/>
    </row>
    <row r="24" s="10" customFormat="1" ht="18" customHeight="1" spans="1:15">
      <c r="A24" s="42">
        <v>43556</v>
      </c>
      <c r="B24" s="28">
        <f t="shared" si="6"/>
        <v>153275.86</v>
      </c>
      <c r="C24" s="43"/>
      <c r="D24" s="44" t="s">
        <v>37</v>
      </c>
      <c r="E24" s="45">
        <v>0.16</v>
      </c>
      <c r="F24" s="28">
        <f t="shared" si="7"/>
        <v>24524.14</v>
      </c>
      <c r="G24" s="152">
        <f>77241.38+12358.62+88200</f>
        <v>177800</v>
      </c>
      <c r="H24" s="74" t="s">
        <v>48</v>
      </c>
      <c r="I24" s="155">
        <v>88200</v>
      </c>
      <c r="J24" s="156" t="s">
        <v>22</v>
      </c>
      <c r="K24" s="67" t="s">
        <v>46</v>
      </c>
      <c r="L24" s="63" t="s">
        <v>49</v>
      </c>
      <c r="M24" s="64"/>
      <c r="N24" s="64"/>
      <c r="O24" s="63"/>
    </row>
    <row r="25" s="10" customFormat="1" ht="18" customHeight="1" spans="1:15">
      <c r="A25" s="42"/>
      <c r="B25" s="28"/>
      <c r="C25" s="43"/>
      <c r="D25" s="44"/>
      <c r="E25" s="45"/>
      <c r="F25" s="28"/>
      <c r="G25" s="152"/>
      <c r="H25" s="74" t="s">
        <v>48</v>
      </c>
      <c r="I25" s="155">
        <v>-88200</v>
      </c>
      <c r="J25" s="156" t="s">
        <v>42</v>
      </c>
      <c r="K25" s="67" t="s">
        <v>43</v>
      </c>
      <c r="L25" s="63"/>
      <c r="M25" s="64"/>
      <c r="N25" s="64"/>
      <c r="O25" s="63"/>
    </row>
    <row r="26" s="10" customFormat="1" ht="18" customHeight="1" spans="1:15">
      <c r="A26" s="42">
        <v>43556</v>
      </c>
      <c r="B26" s="28">
        <f t="shared" si="6"/>
        <v>21238.94</v>
      </c>
      <c r="C26" s="43"/>
      <c r="D26" s="44" t="s">
        <v>37</v>
      </c>
      <c r="E26" s="45">
        <v>0.13</v>
      </c>
      <c r="F26" s="28">
        <f t="shared" si="7"/>
        <v>2761.06</v>
      </c>
      <c r="G26" s="152">
        <f>8000*3</f>
        <v>24000</v>
      </c>
      <c r="H26" s="74" t="s">
        <v>48</v>
      </c>
      <c r="I26" s="155">
        <v>90300</v>
      </c>
      <c r="J26" s="156" t="s">
        <v>22</v>
      </c>
      <c r="K26" s="67" t="s">
        <v>46</v>
      </c>
      <c r="L26" s="63" t="s">
        <v>50</v>
      </c>
      <c r="M26" s="64"/>
      <c r="N26" s="64"/>
      <c r="O26" s="63"/>
    </row>
    <row r="27" s="10" customFormat="1" ht="18" customHeight="1" spans="1:15">
      <c r="A27" s="42"/>
      <c r="B27" s="28"/>
      <c r="C27" s="43"/>
      <c r="D27" s="44"/>
      <c r="E27" s="45"/>
      <c r="F27" s="28"/>
      <c r="G27" s="152"/>
      <c r="H27" s="74" t="s">
        <v>48</v>
      </c>
      <c r="I27" s="155">
        <v>-90300</v>
      </c>
      <c r="J27" s="156" t="s">
        <v>42</v>
      </c>
      <c r="K27" s="67" t="s">
        <v>43</v>
      </c>
      <c r="L27" s="63"/>
      <c r="M27" s="64"/>
      <c r="N27" s="64"/>
      <c r="O27" s="63"/>
    </row>
    <row r="28" s="10" customFormat="1" ht="18" customHeight="1" spans="1:15">
      <c r="A28" s="42"/>
      <c r="B28" s="28">
        <f t="shared" ref="B28:B34" si="8">ROUND(G28/(1+E28),2)</f>
        <v>0</v>
      </c>
      <c r="C28" s="43"/>
      <c r="D28" s="44"/>
      <c r="E28" s="45"/>
      <c r="F28" s="28">
        <f t="shared" ref="F28:F34" si="9">ROUND(G28/(1+E28)*E28,2)</f>
        <v>0</v>
      </c>
      <c r="G28" s="152"/>
      <c r="H28" s="74" t="s">
        <v>48</v>
      </c>
      <c r="I28" s="155">
        <v>59678</v>
      </c>
      <c r="J28" s="156" t="s">
        <v>22</v>
      </c>
      <c r="K28" s="67" t="s">
        <v>51</v>
      </c>
      <c r="L28" s="63"/>
      <c r="M28" s="64"/>
      <c r="N28" s="64"/>
      <c r="O28" s="63"/>
    </row>
    <row r="29" s="10" customFormat="1" ht="18" customHeight="1" spans="1:15">
      <c r="A29" s="42"/>
      <c r="B29" s="28"/>
      <c r="C29" s="43"/>
      <c r="D29" s="44"/>
      <c r="E29" s="45"/>
      <c r="F29" s="28"/>
      <c r="G29" s="152"/>
      <c r="H29" s="74" t="s">
        <v>48</v>
      </c>
      <c r="I29" s="155">
        <v>-59678</v>
      </c>
      <c r="J29" s="156" t="s">
        <v>42</v>
      </c>
      <c r="K29" s="67" t="s">
        <v>43</v>
      </c>
      <c r="L29" s="63"/>
      <c r="M29" s="64"/>
      <c r="N29" s="64"/>
      <c r="O29" s="63"/>
    </row>
    <row r="30" s="10" customFormat="1" ht="18" customHeight="1" spans="1:15">
      <c r="A30" s="42"/>
      <c r="B30" s="28">
        <f t="shared" si="8"/>
        <v>0</v>
      </c>
      <c r="C30" s="43"/>
      <c r="D30" s="44"/>
      <c r="E30" s="45"/>
      <c r="F30" s="28">
        <f t="shared" si="9"/>
        <v>0</v>
      </c>
      <c r="G30" s="152"/>
      <c r="H30" s="74" t="s">
        <v>48</v>
      </c>
      <c r="I30" s="155">
        <v>73266.59</v>
      </c>
      <c r="J30" s="156" t="s">
        <v>22</v>
      </c>
      <c r="K30" s="67" t="s">
        <v>52</v>
      </c>
      <c r="L30" s="63"/>
      <c r="M30" s="64"/>
      <c r="N30" s="64"/>
      <c r="O30" s="63"/>
    </row>
    <row r="31" s="10" customFormat="1" ht="18" customHeight="1" spans="1:15">
      <c r="A31" s="42"/>
      <c r="B31" s="28"/>
      <c r="C31" s="43"/>
      <c r="D31" s="44"/>
      <c r="E31" s="45"/>
      <c r="F31" s="28"/>
      <c r="G31" s="152"/>
      <c r="H31" s="74" t="s">
        <v>48</v>
      </c>
      <c r="I31" s="155">
        <v>-73266.59</v>
      </c>
      <c r="J31" s="156" t="s">
        <v>42</v>
      </c>
      <c r="K31" s="67" t="s">
        <v>43</v>
      </c>
      <c r="L31" s="63"/>
      <c r="M31" s="64"/>
      <c r="N31" s="64"/>
      <c r="O31" s="63"/>
    </row>
    <row r="32" s="10" customFormat="1" ht="18" customHeight="1" spans="1:15">
      <c r="A32" s="42"/>
      <c r="B32" s="28">
        <f t="shared" si="8"/>
        <v>0</v>
      </c>
      <c r="C32" s="43"/>
      <c r="D32" s="44"/>
      <c r="E32" s="45"/>
      <c r="F32" s="28">
        <f t="shared" si="9"/>
        <v>0</v>
      </c>
      <c r="G32" s="152"/>
      <c r="H32" s="74" t="s">
        <v>48</v>
      </c>
      <c r="I32" s="155">
        <v>-51280</v>
      </c>
      <c r="J32" s="156" t="s">
        <v>42</v>
      </c>
      <c r="K32" s="67" t="s">
        <v>43</v>
      </c>
      <c r="L32" s="63"/>
      <c r="M32" s="64"/>
      <c r="N32" s="64"/>
      <c r="O32" s="63"/>
    </row>
    <row r="33" s="10" customFormat="1" ht="18" customHeight="1" spans="1:15">
      <c r="A33" s="42">
        <v>43647</v>
      </c>
      <c r="B33" s="28">
        <f t="shared" si="8"/>
        <v>34676</v>
      </c>
      <c r="C33" s="43"/>
      <c r="D33" s="44" t="s">
        <v>53</v>
      </c>
      <c r="E33" s="45"/>
      <c r="F33" s="28">
        <f t="shared" si="9"/>
        <v>0</v>
      </c>
      <c r="G33" s="152">
        <v>34676</v>
      </c>
      <c r="H33" s="74" t="s">
        <v>48</v>
      </c>
      <c r="I33" s="155">
        <v>51280</v>
      </c>
      <c r="J33" s="156" t="s">
        <v>22</v>
      </c>
      <c r="K33" s="67" t="s">
        <v>51</v>
      </c>
      <c r="L33" s="63"/>
      <c r="M33" s="64"/>
      <c r="N33" s="64"/>
      <c r="O33" s="63"/>
    </row>
    <row r="34" s="10" customFormat="1" ht="18" customHeight="1" spans="1:15">
      <c r="A34" s="42">
        <v>43556</v>
      </c>
      <c r="B34" s="28">
        <f t="shared" si="8"/>
        <v>79911.5</v>
      </c>
      <c r="C34" s="43"/>
      <c r="D34" s="44" t="s">
        <v>37</v>
      </c>
      <c r="E34" s="45">
        <v>0.13</v>
      </c>
      <c r="F34" s="28">
        <f t="shared" si="9"/>
        <v>10388.5</v>
      </c>
      <c r="G34" s="152">
        <v>90300</v>
      </c>
      <c r="H34" s="74" t="s">
        <v>54</v>
      </c>
      <c r="I34" s="155">
        <v>100800</v>
      </c>
      <c r="J34" s="80" t="s">
        <v>22</v>
      </c>
      <c r="K34" s="67" t="s">
        <v>46</v>
      </c>
      <c r="L34" s="63" t="s">
        <v>47</v>
      </c>
      <c r="M34" s="64"/>
      <c r="N34" s="64"/>
      <c r="O34" s="63"/>
    </row>
    <row r="35" s="10" customFormat="1" ht="18" customHeight="1" spans="1:15">
      <c r="A35" s="42"/>
      <c r="B35" s="28"/>
      <c r="C35" s="43"/>
      <c r="D35" s="44"/>
      <c r="E35" s="45"/>
      <c r="F35" s="28"/>
      <c r="G35" s="152"/>
      <c r="H35" s="74" t="s">
        <v>54</v>
      </c>
      <c r="I35" s="155">
        <v>-100800</v>
      </c>
      <c r="J35" s="156" t="s">
        <v>42</v>
      </c>
      <c r="K35" s="67" t="s">
        <v>43</v>
      </c>
      <c r="L35" s="63"/>
      <c r="M35" s="64"/>
      <c r="N35" s="64"/>
      <c r="O35" s="63"/>
    </row>
    <row r="36" s="10" customFormat="1" ht="18" customHeight="1" spans="1:15">
      <c r="A36" s="42">
        <v>43647</v>
      </c>
      <c r="B36" s="28">
        <f t="shared" ref="B36:B98" si="10">ROUND(G36/(1+E36),2)</f>
        <v>60093.2</v>
      </c>
      <c r="C36" s="43"/>
      <c r="D36" s="44" t="s">
        <v>37</v>
      </c>
      <c r="E36" s="45">
        <v>0.03</v>
      </c>
      <c r="F36" s="28">
        <f t="shared" ref="F36:F98" si="11">ROUND(G36/(1+E36)*E36,2)</f>
        <v>1802.8</v>
      </c>
      <c r="G36" s="152">
        <f>11512+27196+23188</f>
        <v>61896</v>
      </c>
      <c r="H36" s="74" t="s">
        <v>54</v>
      </c>
      <c r="I36" s="155">
        <v>54956</v>
      </c>
      <c r="J36" s="80" t="s">
        <v>22</v>
      </c>
      <c r="K36" s="67" t="s">
        <v>51</v>
      </c>
      <c r="L36" s="63" t="s">
        <v>55</v>
      </c>
      <c r="M36" s="64"/>
      <c r="N36" s="64"/>
      <c r="O36" s="63"/>
    </row>
    <row r="37" s="10" customFormat="1" ht="18" customHeight="1" spans="1:15">
      <c r="A37" s="42"/>
      <c r="B37" s="28"/>
      <c r="C37" s="43"/>
      <c r="D37" s="44"/>
      <c r="E37" s="45"/>
      <c r="F37" s="28"/>
      <c r="G37" s="152"/>
      <c r="H37" s="74" t="s">
        <v>54</v>
      </c>
      <c r="I37" s="155">
        <v>-54956</v>
      </c>
      <c r="J37" s="156" t="s">
        <v>42</v>
      </c>
      <c r="K37" s="67" t="s">
        <v>43</v>
      </c>
      <c r="L37" s="63"/>
      <c r="M37" s="64"/>
      <c r="N37" s="64"/>
      <c r="O37" s="63"/>
    </row>
    <row r="38" s="10" customFormat="1" ht="18" customHeight="1" spans="1:15">
      <c r="A38" s="42">
        <v>43617</v>
      </c>
      <c r="B38" s="28">
        <f t="shared" si="10"/>
        <v>178407.08</v>
      </c>
      <c r="C38" s="43"/>
      <c r="D38" s="44" t="s">
        <v>37</v>
      </c>
      <c r="E38" s="45">
        <v>0.13</v>
      </c>
      <c r="F38" s="28">
        <f t="shared" si="11"/>
        <v>23192.92</v>
      </c>
      <c r="G38" s="152">
        <f>80000+60000+61600</f>
        <v>201600</v>
      </c>
      <c r="H38" s="74" t="s">
        <v>54</v>
      </c>
      <c r="I38" s="155">
        <v>100800</v>
      </c>
      <c r="J38" s="80" t="s">
        <v>22</v>
      </c>
      <c r="K38" s="67" t="s">
        <v>46</v>
      </c>
      <c r="L38" s="63" t="s">
        <v>56</v>
      </c>
      <c r="M38" s="64"/>
      <c r="N38" s="64"/>
      <c r="O38" s="63"/>
    </row>
    <row r="39" s="10" customFormat="1" ht="18" customHeight="1" spans="1:15">
      <c r="A39" s="42"/>
      <c r="B39" s="28"/>
      <c r="C39" s="43"/>
      <c r="D39" s="44"/>
      <c r="E39" s="45"/>
      <c r="F39" s="28"/>
      <c r="G39" s="152"/>
      <c r="H39" s="74" t="s">
        <v>54</v>
      </c>
      <c r="I39" s="155">
        <v>-100800</v>
      </c>
      <c r="J39" s="156" t="s">
        <v>42</v>
      </c>
      <c r="K39" s="67" t="s">
        <v>43</v>
      </c>
      <c r="L39" s="63"/>
      <c r="M39" s="64"/>
      <c r="N39" s="64"/>
      <c r="O39" s="63"/>
    </row>
    <row r="40" s="10" customFormat="1" ht="18" customHeight="1" spans="1:15">
      <c r="A40" s="42">
        <v>43556</v>
      </c>
      <c r="B40" s="28">
        <f t="shared" si="10"/>
        <v>2211.61</v>
      </c>
      <c r="C40" s="43"/>
      <c r="D40" s="44" t="s">
        <v>37</v>
      </c>
      <c r="E40" s="45">
        <v>0.16</v>
      </c>
      <c r="F40" s="28">
        <f t="shared" si="11"/>
        <v>353.86</v>
      </c>
      <c r="G40" s="152">
        <f>2094.67+470.8</f>
        <v>2565.47</v>
      </c>
      <c r="H40" s="116"/>
      <c r="I40" s="157"/>
      <c r="J40" s="158"/>
      <c r="K40" s="62" t="s">
        <v>57</v>
      </c>
      <c r="L40" s="63" t="s">
        <v>58</v>
      </c>
      <c r="M40" s="64"/>
      <c r="N40" s="64"/>
      <c r="O40" s="63"/>
    </row>
    <row r="41" s="10" customFormat="1" ht="18" customHeight="1" spans="1:15">
      <c r="A41" s="42">
        <v>43556</v>
      </c>
      <c r="B41" s="28">
        <f t="shared" si="10"/>
        <v>2000</v>
      </c>
      <c r="C41" s="43"/>
      <c r="D41" s="44" t="s">
        <v>53</v>
      </c>
      <c r="E41" s="45"/>
      <c r="F41" s="28">
        <f t="shared" si="11"/>
        <v>0</v>
      </c>
      <c r="G41" s="152">
        <v>2000</v>
      </c>
      <c r="H41" s="30"/>
      <c r="I41" s="146"/>
      <c r="J41" s="76"/>
      <c r="K41" s="62" t="s">
        <v>59</v>
      </c>
      <c r="L41" s="63" t="s">
        <v>60</v>
      </c>
      <c r="M41" s="64"/>
      <c r="N41" s="64"/>
      <c r="O41" s="63"/>
    </row>
    <row r="42" s="10" customFormat="1" ht="18" customHeight="1" spans="1:15">
      <c r="A42" s="42">
        <v>43556</v>
      </c>
      <c r="B42" s="28">
        <f t="shared" si="10"/>
        <v>8087</v>
      </c>
      <c r="C42" s="43"/>
      <c r="D42" s="44" t="s">
        <v>53</v>
      </c>
      <c r="E42" s="45"/>
      <c r="F42" s="28">
        <f t="shared" si="11"/>
        <v>0</v>
      </c>
      <c r="G42" s="152">
        <f>220+460+295+310+420+410+530+320+430+567+430+450+340+500+455+450+355+375+410+360</f>
        <v>8087</v>
      </c>
      <c r="H42" s="30"/>
      <c r="I42" s="146"/>
      <c r="J42" s="76"/>
      <c r="K42" s="62" t="s">
        <v>61</v>
      </c>
      <c r="L42" s="63" t="s">
        <v>62</v>
      </c>
      <c r="M42" s="64"/>
      <c r="N42" s="64"/>
      <c r="O42" s="63"/>
    </row>
    <row r="43" s="10" customFormat="1" ht="18" customHeight="1" spans="1:15">
      <c r="A43" s="42">
        <v>43556</v>
      </c>
      <c r="B43" s="28">
        <f t="shared" si="10"/>
        <v>458</v>
      </c>
      <c r="C43" s="43"/>
      <c r="D43" s="44" t="s">
        <v>53</v>
      </c>
      <c r="E43" s="45"/>
      <c r="F43" s="28">
        <f t="shared" si="11"/>
        <v>0</v>
      </c>
      <c r="G43" s="152">
        <f>290+168</f>
        <v>458</v>
      </c>
      <c r="H43" s="30"/>
      <c r="I43" s="146"/>
      <c r="J43" s="76"/>
      <c r="K43" s="62" t="s">
        <v>63</v>
      </c>
      <c r="L43" s="63" t="s">
        <v>47</v>
      </c>
      <c r="M43" s="64"/>
      <c r="N43" s="64"/>
      <c r="O43" s="63"/>
    </row>
    <row r="44" s="10" customFormat="1" ht="18" customHeight="1" spans="1:15">
      <c r="A44" s="42">
        <v>43556</v>
      </c>
      <c r="B44" s="28">
        <f t="shared" si="10"/>
        <v>36215</v>
      </c>
      <c r="C44" s="43"/>
      <c r="D44" s="44" t="s">
        <v>53</v>
      </c>
      <c r="E44" s="45"/>
      <c r="F44" s="28">
        <f t="shared" si="11"/>
        <v>0</v>
      </c>
      <c r="G44" s="152">
        <v>36215</v>
      </c>
      <c r="H44" s="30"/>
      <c r="I44" s="146"/>
      <c r="J44" s="76"/>
      <c r="K44" s="62" t="s">
        <v>64</v>
      </c>
      <c r="L44" s="63" t="s">
        <v>65</v>
      </c>
      <c r="M44" s="64"/>
      <c r="N44" s="64"/>
      <c r="O44" s="63"/>
    </row>
    <row r="45" s="10" customFormat="1" ht="18" customHeight="1" spans="1:15">
      <c r="A45" s="42">
        <v>43556</v>
      </c>
      <c r="B45" s="28">
        <f t="shared" si="10"/>
        <v>880</v>
      </c>
      <c r="C45" s="43"/>
      <c r="D45" s="44" t="s">
        <v>37</v>
      </c>
      <c r="E45" s="45">
        <v>0.06</v>
      </c>
      <c r="F45" s="28">
        <f t="shared" si="11"/>
        <v>52.8</v>
      </c>
      <c r="G45" s="152">
        <v>932.8</v>
      </c>
      <c r="H45" s="30"/>
      <c r="I45" s="146"/>
      <c r="J45" s="76"/>
      <c r="K45" s="62" t="s">
        <v>66</v>
      </c>
      <c r="L45" s="63" t="s">
        <v>67</v>
      </c>
      <c r="M45" s="64"/>
      <c r="N45" s="64"/>
      <c r="O45" s="63"/>
    </row>
    <row r="46" s="10" customFormat="1" ht="18" customHeight="1" spans="1:15">
      <c r="A46" s="42">
        <v>43556</v>
      </c>
      <c r="B46" s="28">
        <f t="shared" si="10"/>
        <v>3500</v>
      </c>
      <c r="C46" s="43"/>
      <c r="D46" s="44" t="s">
        <v>53</v>
      </c>
      <c r="E46" s="45"/>
      <c r="F46" s="28">
        <f t="shared" si="11"/>
        <v>0</v>
      </c>
      <c r="G46" s="152">
        <v>3500</v>
      </c>
      <c r="H46" s="30"/>
      <c r="I46" s="146"/>
      <c r="J46" s="76"/>
      <c r="K46" s="62" t="s">
        <v>68</v>
      </c>
      <c r="L46" s="63" t="s">
        <v>69</v>
      </c>
      <c r="M46" s="64"/>
      <c r="N46" s="64"/>
      <c r="O46" s="63"/>
    </row>
    <row r="47" s="10" customFormat="1" ht="18" customHeight="1" spans="1:15">
      <c r="A47" s="42">
        <v>43556</v>
      </c>
      <c r="B47" s="28">
        <f t="shared" si="10"/>
        <v>1850</v>
      </c>
      <c r="C47" s="43"/>
      <c r="D47" s="44" t="s">
        <v>53</v>
      </c>
      <c r="E47" s="45"/>
      <c r="F47" s="28">
        <f t="shared" si="11"/>
        <v>0</v>
      </c>
      <c r="G47" s="152">
        <v>1850</v>
      </c>
      <c r="H47" s="30"/>
      <c r="I47" s="146"/>
      <c r="J47" s="76"/>
      <c r="K47" s="62" t="s">
        <v>70</v>
      </c>
      <c r="L47" s="63" t="s">
        <v>71</v>
      </c>
      <c r="M47" s="64"/>
      <c r="N47" s="64"/>
      <c r="O47" s="63"/>
    </row>
    <row r="48" s="10" customFormat="1" ht="18" customHeight="1" spans="1:15">
      <c r="A48" s="42">
        <v>43556</v>
      </c>
      <c r="B48" s="28">
        <f t="shared" si="10"/>
        <v>1000</v>
      </c>
      <c r="C48" s="43"/>
      <c r="D48" s="44" t="s">
        <v>53</v>
      </c>
      <c r="E48" s="45"/>
      <c r="F48" s="28">
        <f t="shared" si="11"/>
        <v>0</v>
      </c>
      <c r="G48" s="152">
        <v>1000</v>
      </c>
      <c r="H48" s="30"/>
      <c r="I48" s="146"/>
      <c r="J48" s="76"/>
      <c r="K48" s="62" t="s">
        <v>72</v>
      </c>
      <c r="L48" s="63" t="s">
        <v>73</v>
      </c>
      <c r="M48" s="64"/>
      <c r="N48" s="64"/>
      <c r="O48" s="63"/>
    </row>
    <row r="49" s="10" customFormat="1" ht="18" customHeight="1" spans="1:15">
      <c r="A49" s="42">
        <v>43556</v>
      </c>
      <c r="B49" s="28">
        <f t="shared" si="10"/>
        <v>9300</v>
      </c>
      <c r="C49" s="43"/>
      <c r="D49" s="44" t="s">
        <v>53</v>
      </c>
      <c r="E49" s="45"/>
      <c r="F49" s="28">
        <f t="shared" si="11"/>
        <v>0</v>
      </c>
      <c r="G49" s="152">
        <v>9300</v>
      </c>
      <c r="H49" s="30"/>
      <c r="I49" s="146"/>
      <c r="J49" s="76"/>
      <c r="K49" s="62" t="s">
        <v>74</v>
      </c>
      <c r="L49" s="63" t="s">
        <v>75</v>
      </c>
      <c r="M49" s="64"/>
      <c r="N49" s="64"/>
      <c r="O49" s="63"/>
    </row>
    <row r="50" s="10" customFormat="1" ht="18" customHeight="1" spans="1:15">
      <c r="A50" s="42">
        <v>43556</v>
      </c>
      <c r="B50" s="28">
        <f t="shared" si="10"/>
        <v>1400</v>
      </c>
      <c r="C50" s="43"/>
      <c r="D50" s="44" t="s">
        <v>53</v>
      </c>
      <c r="E50" s="45"/>
      <c r="F50" s="28">
        <f t="shared" si="11"/>
        <v>0</v>
      </c>
      <c r="G50" s="152">
        <v>1400</v>
      </c>
      <c r="H50" s="30"/>
      <c r="I50" s="146"/>
      <c r="J50" s="76"/>
      <c r="K50" s="62" t="s">
        <v>76</v>
      </c>
      <c r="L50" s="63" t="s">
        <v>77</v>
      </c>
      <c r="M50" s="64"/>
      <c r="N50" s="64"/>
      <c r="O50" s="63"/>
    </row>
    <row r="51" s="10" customFormat="1" ht="18" customHeight="1" spans="1:15">
      <c r="A51" s="42">
        <v>43556</v>
      </c>
      <c r="B51" s="28">
        <f t="shared" si="10"/>
        <v>965</v>
      </c>
      <c r="C51" s="43"/>
      <c r="D51" s="44" t="s">
        <v>53</v>
      </c>
      <c r="E51" s="45"/>
      <c r="F51" s="28">
        <f t="shared" si="11"/>
        <v>0</v>
      </c>
      <c r="G51" s="152">
        <v>965</v>
      </c>
      <c r="H51" s="30"/>
      <c r="I51" s="146"/>
      <c r="J51" s="76"/>
      <c r="K51" s="62" t="s">
        <v>78</v>
      </c>
      <c r="L51" s="63" t="s">
        <v>79</v>
      </c>
      <c r="M51" s="64"/>
      <c r="N51" s="64"/>
      <c r="O51" s="63"/>
    </row>
    <row r="52" s="10" customFormat="1" ht="18" customHeight="1" spans="1:15">
      <c r="A52" s="42">
        <v>43556</v>
      </c>
      <c r="B52" s="28">
        <f t="shared" si="10"/>
        <v>207</v>
      </c>
      <c r="C52" s="43"/>
      <c r="D52" s="44" t="s">
        <v>53</v>
      </c>
      <c r="E52" s="45"/>
      <c r="F52" s="28">
        <f t="shared" si="11"/>
        <v>0</v>
      </c>
      <c r="G52" s="152">
        <v>207</v>
      </c>
      <c r="H52" s="30"/>
      <c r="I52" s="146"/>
      <c r="J52" s="76"/>
      <c r="K52" s="62" t="s">
        <v>68</v>
      </c>
      <c r="L52" s="63" t="s">
        <v>80</v>
      </c>
      <c r="M52" s="64"/>
      <c r="N52" s="64"/>
      <c r="O52" s="63"/>
    </row>
    <row r="53" s="10" customFormat="1" ht="18" customHeight="1" spans="1:15">
      <c r="A53" s="42">
        <v>43556</v>
      </c>
      <c r="B53" s="28">
        <f t="shared" si="10"/>
        <v>9528.5</v>
      </c>
      <c r="C53" s="43"/>
      <c r="D53" s="44" t="s">
        <v>53</v>
      </c>
      <c r="E53" s="45"/>
      <c r="F53" s="28">
        <f t="shared" si="11"/>
        <v>0</v>
      </c>
      <c r="G53" s="152">
        <f>8428.5+1100</f>
        <v>9528.5</v>
      </c>
      <c r="H53" s="30"/>
      <c r="I53" s="146"/>
      <c r="J53" s="76"/>
      <c r="K53" s="62" t="s">
        <v>81</v>
      </c>
      <c r="L53" s="63" t="s">
        <v>82</v>
      </c>
      <c r="M53" s="64"/>
      <c r="N53" s="64"/>
      <c r="O53" s="63"/>
    </row>
    <row r="54" s="10" customFormat="1" ht="18" customHeight="1" spans="1:15">
      <c r="A54" s="42">
        <v>43556</v>
      </c>
      <c r="B54" s="28">
        <f t="shared" si="10"/>
        <v>2110</v>
      </c>
      <c r="C54" s="43"/>
      <c r="D54" s="44" t="s">
        <v>53</v>
      </c>
      <c r="E54" s="45"/>
      <c r="F54" s="28">
        <f t="shared" si="11"/>
        <v>0</v>
      </c>
      <c r="G54" s="152">
        <f>410+355+515+470+360</f>
        <v>2110</v>
      </c>
      <c r="H54" s="30"/>
      <c r="I54" s="146"/>
      <c r="J54" s="76"/>
      <c r="K54" s="62" t="s">
        <v>83</v>
      </c>
      <c r="L54" s="63" t="s">
        <v>84</v>
      </c>
      <c r="M54" s="64"/>
      <c r="N54" s="64"/>
      <c r="O54" s="63"/>
    </row>
    <row r="55" s="10" customFormat="1" ht="18" customHeight="1" spans="1:15">
      <c r="A55" s="42">
        <v>43556</v>
      </c>
      <c r="B55" s="28">
        <f t="shared" si="10"/>
        <v>4622.64</v>
      </c>
      <c r="C55" s="43"/>
      <c r="D55" s="44" t="s">
        <v>37</v>
      </c>
      <c r="E55" s="45">
        <v>0.06</v>
      </c>
      <c r="F55" s="28">
        <f t="shared" si="11"/>
        <v>277.36</v>
      </c>
      <c r="G55" s="152">
        <v>4900</v>
      </c>
      <c r="H55" s="30"/>
      <c r="I55" s="146"/>
      <c r="J55" s="76"/>
      <c r="K55" s="62" t="s">
        <v>85</v>
      </c>
      <c r="L55" s="63" t="s">
        <v>86</v>
      </c>
      <c r="M55" s="64"/>
      <c r="N55" s="64"/>
      <c r="O55" s="63"/>
    </row>
    <row r="56" s="10" customFormat="1" ht="18" customHeight="1" spans="1:15">
      <c r="A56" s="42">
        <v>43556</v>
      </c>
      <c r="B56" s="28">
        <f t="shared" si="10"/>
        <v>2950</v>
      </c>
      <c r="C56" s="43"/>
      <c r="D56" s="44" t="s">
        <v>53</v>
      </c>
      <c r="E56" s="45"/>
      <c r="F56" s="28">
        <f t="shared" si="11"/>
        <v>0</v>
      </c>
      <c r="G56" s="152">
        <v>2950</v>
      </c>
      <c r="H56" s="30"/>
      <c r="I56" s="146"/>
      <c r="J56" s="76"/>
      <c r="K56" s="62" t="s">
        <v>87</v>
      </c>
      <c r="L56" s="63" t="s">
        <v>88</v>
      </c>
      <c r="M56" s="64"/>
      <c r="N56" s="64"/>
      <c r="O56" s="63"/>
    </row>
    <row r="57" s="10" customFormat="1" ht="18" customHeight="1" spans="1:15">
      <c r="A57" s="42">
        <v>43556</v>
      </c>
      <c r="B57" s="28">
        <f t="shared" si="10"/>
        <v>750</v>
      </c>
      <c r="C57" s="43"/>
      <c r="D57" s="44" t="s">
        <v>53</v>
      </c>
      <c r="E57" s="45"/>
      <c r="F57" s="28">
        <f t="shared" si="11"/>
        <v>0</v>
      </c>
      <c r="G57" s="152">
        <v>750</v>
      </c>
      <c r="H57" s="30"/>
      <c r="I57" s="146"/>
      <c r="J57" s="76"/>
      <c r="K57" s="62" t="s">
        <v>70</v>
      </c>
      <c r="L57" s="63" t="s">
        <v>89</v>
      </c>
      <c r="M57" s="64"/>
      <c r="N57" s="64"/>
      <c r="O57" s="63"/>
    </row>
    <row r="58" s="10" customFormat="1" ht="18" customHeight="1" spans="1:15">
      <c r="A58" s="42">
        <v>43556</v>
      </c>
      <c r="B58" s="28">
        <f t="shared" si="10"/>
        <v>2040</v>
      </c>
      <c r="C58" s="43"/>
      <c r="D58" s="44" t="s">
        <v>53</v>
      </c>
      <c r="E58" s="45"/>
      <c r="F58" s="28">
        <f t="shared" si="11"/>
        <v>0</v>
      </c>
      <c r="G58" s="152">
        <v>2040</v>
      </c>
      <c r="H58" s="30"/>
      <c r="I58" s="146"/>
      <c r="J58" s="76"/>
      <c r="K58" s="62" t="s">
        <v>70</v>
      </c>
      <c r="L58" s="63" t="s">
        <v>90</v>
      </c>
      <c r="M58" s="64"/>
      <c r="N58" s="64"/>
      <c r="O58" s="63"/>
    </row>
    <row r="59" s="10" customFormat="1" ht="18" customHeight="1" spans="1:15">
      <c r="A59" s="42">
        <v>43556</v>
      </c>
      <c r="B59" s="28">
        <f t="shared" si="10"/>
        <v>37746</v>
      </c>
      <c r="C59" s="43"/>
      <c r="D59" s="44" t="s">
        <v>53</v>
      </c>
      <c r="E59" s="45"/>
      <c r="F59" s="28">
        <f t="shared" si="11"/>
        <v>0</v>
      </c>
      <c r="G59" s="152">
        <v>37746</v>
      </c>
      <c r="H59" s="30"/>
      <c r="I59" s="146"/>
      <c r="J59" s="76"/>
      <c r="K59" s="62" t="s">
        <v>91</v>
      </c>
      <c r="L59" s="63" t="s">
        <v>92</v>
      </c>
      <c r="M59" s="64"/>
      <c r="N59" s="64"/>
      <c r="O59" s="63"/>
    </row>
    <row r="60" s="10" customFormat="1" ht="18" customHeight="1" spans="1:15">
      <c r="A60" s="42">
        <v>43556</v>
      </c>
      <c r="B60" s="28">
        <f t="shared" si="10"/>
        <v>5970</v>
      </c>
      <c r="C60" s="43"/>
      <c r="D60" s="44" t="s">
        <v>53</v>
      </c>
      <c r="E60" s="45"/>
      <c r="F60" s="28">
        <f t="shared" si="11"/>
        <v>0</v>
      </c>
      <c r="G60" s="152">
        <f>2270+1200+2500</f>
        <v>5970</v>
      </c>
      <c r="H60" s="30"/>
      <c r="I60" s="146"/>
      <c r="J60" s="76"/>
      <c r="K60" s="62" t="s">
        <v>93</v>
      </c>
      <c r="L60" s="63" t="s">
        <v>94</v>
      </c>
      <c r="M60" s="64"/>
      <c r="N60" s="64"/>
      <c r="O60" s="63"/>
    </row>
    <row r="61" s="10" customFormat="1" ht="18" customHeight="1" spans="1:15">
      <c r="A61" s="42">
        <v>43556</v>
      </c>
      <c r="B61" s="28">
        <f t="shared" si="10"/>
        <v>2903.5</v>
      </c>
      <c r="C61" s="43"/>
      <c r="D61" s="44" t="s">
        <v>53</v>
      </c>
      <c r="E61" s="45"/>
      <c r="F61" s="28">
        <f t="shared" si="11"/>
        <v>0</v>
      </c>
      <c r="G61" s="152">
        <f>1909+994.5</f>
        <v>2903.5</v>
      </c>
      <c r="H61" s="30"/>
      <c r="I61" s="146"/>
      <c r="J61" s="76"/>
      <c r="K61" s="62" t="s">
        <v>81</v>
      </c>
      <c r="L61" s="63" t="s">
        <v>95</v>
      </c>
      <c r="M61" s="64"/>
      <c r="N61" s="64"/>
      <c r="O61" s="63"/>
    </row>
    <row r="62" s="10" customFormat="1" ht="18" customHeight="1" spans="1:15">
      <c r="A62" s="42">
        <v>43556</v>
      </c>
      <c r="B62" s="28">
        <f t="shared" si="10"/>
        <v>3640</v>
      </c>
      <c r="C62" s="43"/>
      <c r="D62" s="44" t="s">
        <v>53</v>
      </c>
      <c r="E62" s="45"/>
      <c r="F62" s="28">
        <f t="shared" si="11"/>
        <v>0</v>
      </c>
      <c r="G62" s="152">
        <v>3640</v>
      </c>
      <c r="H62" s="30"/>
      <c r="I62" s="146"/>
      <c r="J62" s="76"/>
      <c r="K62" s="62" t="s">
        <v>96</v>
      </c>
      <c r="L62" s="63" t="s">
        <v>97</v>
      </c>
      <c r="M62" s="64"/>
      <c r="N62" s="64"/>
      <c r="O62" s="63"/>
    </row>
    <row r="63" s="10" customFormat="1" ht="18" customHeight="1" spans="1:15">
      <c r="A63" s="42">
        <v>43556</v>
      </c>
      <c r="B63" s="28">
        <f t="shared" si="10"/>
        <v>745</v>
      </c>
      <c r="C63" s="43"/>
      <c r="D63" s="44" t="s">
        <v>53</v>
      </c>
      <c r="E63" s="45"/>
      <c r="F63" s="28">
        <f t="shared" si="11"/>
        <v>0</v>
      </c>
      <c r="G63" s="152">
        <v>745</v>
      </c>
      <c r="H63" s="30"/>
      <c r="I63" s="146"/>
      <c r="J63" s="76"/>
      <c r="K63" s="62" t="s">
        <v>98</v>
      </c>
      <c r="L63" s="63" t="s">
        <v>99</v>
      </c>
      <c r="M63" s="64"/>
      <c r="N63" s="64"/>
      <c r="O63" s="63"/>
    </row>
    <row r="64" s="10" customFormat="1" ht="18" customHeight="1" spans="1:15">
      <c r="A64" s="42">
        <v>43556</v>
      </c>
      <c r="B64" s="28">
        <f t="shared" si="10"/>
        <v>2140</v>
      </c>
      <c r="C64" s="43"/>
      <c r="D64" s="44" t="s">
        <v>53</v>
      </c>
      <c r="E64" s="45"/>
      <c r="F64" s="28">
        <f t="shared" si="11"/>
        <v>0</v>
      </c>
      <c r="G64" s="152">
        <v>2140</v>
      </c>
      <c r="H64" s="30"/>
      <c r="I64" s="146"/>
      <c r="J64" s="76"/>
      <c r="K64" s="62" t="s">
        <v>100</v>
      </c>
      <c r="L64" s="63" t="s">
        <v>101</v>
      </c>
      <c r="M64" s="64"/>
      <c r="N64" s="64"/>
      <c r="O64" s="63"/>
    </row>
    <row r="65" s="10" customFormat="1" ht="18" customHeight="1" spans="1:15">
      <c r="A65" s="42">
        <v>43556</v>
      </c>
      <c r="B65" s="28">
        <f t="shared" si="10"/>
        <v>3260</v>
      </c>
      <c r="C65" s="43"/>
      <c r="D65" s="44" t="s">
        <v>53</v>
      </c>
      <c r="E65" s="45"/>
      <c r="F65" s="28">
        <f t="shared" si="11"/>
        <v>0</v>
      </c>
      <c r="G65" s="152">
        <v>3260</v>
      </c>
      <c r="H65" s="30"/>
      <c r="I65" s="146"/>
      <c r="J65" s="76"/>
      <c r="K65" s="62" t="s">
        <v>76</v>
      </c>
      <c r="L65" s="63" t="s">
        <v>102</v>
      </c>
      <c r="M65" s="64"/>
      <c r="N65" s="64"/>
      <c r="O65" s="63"/>
    </row>
    <row r="66" s="10" customFormat="1" ht="18" customHeight="1" spans="1:15">
      <c r="A66" s="42">
        <v>43556</v>
      </c>
      <c r="B66" s="28">
        <f t="shared" si="10"/>
        <v>1445</v>
      </c>
      <c r="C66" s="43"/>
      <c r="D66" s="44" t="s">
        <v>53</v>
      </c>
      <c r="E66" s="45"/>
      <c r="F66" s="28">
        <f t="shared" si="11"/>
        <v>0</v>
      </c>
      <c r="G66" s="152">
        <v>1445</v>
      </c>
      <c r="H66" s="30"/>
      <c r="I66" s="146"/>
      <c r="J66" s="76"/>
      <c r="K66" s="62" t="s">
        <v>78</v>
      </c>
      <c r="L66" s="63" t="s">
        <v>103</v>
      </c>
      <c r="M66" s="64"/>
      <c r="N66" s="64"/>
      <c r="O66" s="63"/>
    </row>
    <row r="67" s="10" customFormat="1" ht="18" customHeight="1" spans="1:15">
      <c r="A67" s="42">
        <v>43556</v>
      </c>
      <c r="B67" s="28">
        <f t="shared" si="10"/>
        <v>516</v>
      </c>
      <c r="C67" s="43"/>
      <c r="D67" s="44" t="s">
        <v>53</v>
      </c>
      <c r="E67" s="45"/>
      <c r="F67" s="28">
        <f t="shared" si="11"/>
        <v>0</v>
      </c>
      <c r="G67" s="152">
        <v>516</v>
      </c>
      <c r="H67" s="30"/>
      <c r="I67" s="146"/>
      <c r="J67" s="76"/>
      <c r="K67" s="62" t="s">
        <v>104</v>
      </c>
      <c r="L67" s="63" t="s">
        <v>105</v>
      </c>
      <c r="M67" s="64"/>
      <c r="N67" s="64"/>
      <c r="O67" s="63"/>
    </row>
    <row r="68" s="10" customFormat="1" ht="18" customHeight="1" spans="1:15">
      <c r="A68" s="42">
        <v>43556</v>
      </c>
      <c r="B68" s="28">
        <f t="shared" si="10"/>
        <v>480</v>
      </c>
      <c r="C68" s="43"/>
      <c r="D68" s="44" t="s">
        <v>53</v>
      </c>
      <c r="E68" s="45"/>
      <c r="F68" s="28">
        <f t="shared" si="11"/>
        <v>0</v>
      </c>
      <c r="G68" s="152">
        <f>30*2+15*26+30</f>
        <v>480</v>
      </c>
      <c r="H68" s="30"/>
      <c r="I68" s="146"/>
      <c r="J68" s="76"/>
      <c r="K68" s="62" t="s">
        <v>106</v>
      </c>
      <c r="L68" s="63"/>
      <c r="M68" s="64"/>
      <c r="N68" s="64"/>
      <c r="O68" s="63"/>
    </row>
    <row r="69" s="10" customFormat="1" ht="18" customHeight="1" spans="1:15">
      <c r="A69" s="42">
        <v>43556</v>
      </c>
      <c r="B69" s="28">
        <f t="shared" si="10"/>
        <v>2231</v>
      </c>
      <c r="C69" s="43"/>
      <c r="D69" s="44" t="s">
        <v>53</v>
      </c>
      <c r="E69" s="45"/>
      <c r="F69" s="28">
        <f t="shared" si="11"/>
        <v>0</v>
      </c>
      <c r="G69" s="152">
        <f>321+430+390+410+680</f>
        <v>2231</v>
      </c>
      <c r="H69" s="30"/>
      <c r="I69" s="146"/>
      <c r="J69" s="76"/>
      <c r="K69" s="62" t="s">
        <v>107</v>
      </c>
      <c r="L69" s="63"/>
      <c r="M69" s="64"/>
      <c r="N69" s="64"/>
      <c r="O69" s="63"/>
    </row>
    <row r="70" s="10" customFormat="1" ht="18" customHeight="1" spans="1:15">
      <c r="A70" s="42">
        <v>43617</v>
      </c>
      <c r="B70" s="28">
        <f t="shared" si="10"/>
        <v>64837.69</v>
      </c>
      <c r="C70" s="43"/>
      <c r="D70" s="44" t="s">
        <v>37</v>
      </c>
      <c r="E70" s="45">
        <v>0.13</v>
      </c>
      <c r="F70" s="28">
        <f t="shared" si="11"/>
        <v>8428.9</v>
      </c>
      <c r="G70" s="152">
        <v>73266.59</v>
      </c>
      <c r="H70" s="30"/>
      <c r="I70" s="146"/>
      <c r="J70" s="76"/>
      <c r="K70" s="62" t="s">
        <v>108</v>
      </c>
      <c r="L70" s="63" t="s">
        <v>109</v>
      </c>
      <c r="M70" s="64"/>
      <c r="N70" s="64"/>
      <c r="O70" s="63"/>
    </row>
    <row r="71" s="10" customFormat="1" ht="18" customHeight="1" spans="1:15">
      <c r="A71" s="42">
        <v>43617</v>
      </c>
      <c r="B71" s="28">
        <f t="shared" si="10"/>
        <v>290485.44</v>
      </c>
      <c r="C71" s="43"/>
      <c r="D71" s="44" t="s">
        <v>37</v>
      </c>
      <c r="E71" s="45">
        <v>0.03</v>
      </c>
      <c r="F71" s="28">
        <f t="shared" si="11"/>
        <v>8714.56</v>
      </c>
      <c r="G71" s="152">
        <f>99600+99700+99900</f>
        <v>299200</v>
      </c>
      <c r="H71" s="30"/>
      <c r="I71" s="146"/>
      <c r="J71" s="76"/>
      <c r="K71" s="62" t="s">
        <v>110</v>
      </c>
      <c r="L71" s="63" t="s">
        <v>111</v>
      </c>
      <c r="M71" s="64"/>
      <c r="N71" s="64"/>
      <c r="O71" s="63"/>
    </row>
    <row r="72" s="10" customFormat="1" ht="18" customHeight="1" spans="1:15">
      <c r="A72" s="42">
        <v>43617</v>
      </c>
      <c r="B72" s="28">
        <f t="shared" si="10"/>
        <v>1552.21</v>
      </c>
      <c r="C72" s="43"/>
      <c r="D72" s="44" t="s">
        <v>37</v>
      </c>
      <c r="E72" s="45">
        <v>0.13</v>
      </c>
      <c r="F72" s="28">
        <f t="shared" si="11"/>
        <v>201.79</v>
      </c>
      <c r="G72" s="152">
        <v>1754</v>
      </c>
      <c r="H72" s="30"/>
      <c r="I72" s="146"/>
      <c r="J72" s="76"/>
      <c r="K72" s="62" t="s">
        <v>112</v>
      </c>
      <c r="L72" s="63" t="s">
        <v>58</v>
      </c>
      <c r="M72" s="64"/>
      <c r="N72" s="64"/>
      <c r="O72" s="63"/>
    </row>
    <row r="73" s="10" customFormat="1" ht="18" customHeight="1" spans="1:15">
      <c r="A73" s="42">
        <v>43617</v>
      </c>
      <c r="B73" s="28">
        <f t="shared" si="10"/>
        <v>1050</v>
      </c>
      <c r="C73" s="43"/>
      <c r="D73" s="44" t="s">
        <v>53</v>
      </c>
      <c r="E73" s="45"/>
      <c r="F73" s="28">
        <f t="shared" si="11"/>
        <v>0</v>
      </c>
      <c r="G73" s="152">
        <v>1050</v>
      </c>
      <c r="H73" s="30"/>
      <c r="I73" s="146"/>
      <c r="J73" s="76"/>
      <c r="K73" s="62" t="s">
        <v>68</v>
      </c>
      <c r="L73" s="63" t="s">
        <v>113</v>
      </c>
      <c r="M73" s="64"/>
      <c r="N73" s="64"/>
      <c r="O73" s="63"/>
    </row>
    <row r="74" s="10" customFormat="1" ht="18" customHeight="1" spans="1:15">
      <c r="A74" s="42">
        <v>43617</v>
      </c>
      <c r="B74" s="28">
        <f t="shared" si="10"/>
        <v>160</v>
      </c>
      <c r="C74" s="43"/>
      <c r="D74" s="44" t="s">
        <v>53</v>
      </c>
      <c r="E74" s="45"/>
      <c r="F74" s="28">
        <f t="shared" si="11"/>
        <v>0</v>
      </c>
      <c r="G74" s="152">
        <v>160</v>
      </c>
      <c r="H74" s="30"/>
      <c r="I74" s="146"/>
      <c r="J74" s="76"/>
      <c r="K74" s="62" t="s">
        <v>114</v>
      </c>
      <c r="L74" s="63" t="s">
        <v>115</v>
      </c>
      <c r="M74" s="64"/>
      <c r="N74" s="64"/>
      <c r="O74" s="63"/>
    </row>
    <row r="75" s="10" customFormat="1" ht="18" customHeight="1" spans="1:15">
      <c r="A75" s="42">
        <v>43617</v>
      </c>
      <c r="B75" s="28">
        <f t="shared" si="10"/>
        <v>1650</v>
      </c>
      <c r="C75" s="43"/>
      <c r="D75" s="44" t="s">
        <v>53</v>
      </c>
      <c r="E75" s="45"/>
      <c r="F75" s="28">
        <f t="shared" si="11"/>
        <v>0</v>
      </c>
      <c r="G75" s="152">
        <v>1650</v>
      </c>
      <c r="H75" s="30"/>
      <c r="I75" s="146"/>
      <c r="J75" s="76"/>
      <c r="K75" s="62" t="s">
        <v>68</v>
      </c>
      <c r="L75" s="63" t="s">
        <v>116</v>
      </c>
      <c r="M75" s="64"/>
      <c r="N75" s="64"/>
      <c r="O75" s="63"/>
    </row>
    <row r="76" s="10" customFormat="1" ht="18" customHeight="1" spans="1:15">
      <c r="A76" s="42">
        <v>43617</v>
      </c>
      <c r="B76" s="28">
        <f t="shared" si="10"/>
        <v>3236</v>
      </c>
      <c r="C76" s="43"/>
      <c r="D76" s="44" t="s">
        <v>53</v>
      </c>
      <c r="E76" s="45"/>
      <c r="F76" s="28">
        <f t="shared" si="11"/>
        <v>0</v>
      </c>
      <c r="G76" s="152">
        <v>3236</v>
      </c>
      <c r="H76" s="30"/>
      <c r="I76" s="146"/>
      <c r="J76" s="76"/>
      <c r="K76" s="62" t="s">
        <v>68</v>
      </c>
      <c r="L76" s="63" t="s">
        <v>117</v>
      </c>
      <c r="M76" s="64"/>
      <c r="N76" s="64"/>
      <c r="O76" s="63"/>
    </row>
    <row r="77" s="10" customFormat="1" ht="18" customHeight="1" spans="1:15">
      <c r="A77" s="42">
        <v>43617</v>
      </c>
      <c r="B77" s="28">
        <f t="shared" si="10"/>
        <v>1200</v>
      </c>
      <c r="C77" s="43"/>
      <c r="D77" s="44" t="s">
        <v>53</v>
      </c>
      <c r="E77" s="45"/>
      <c r="F77" s="28">
        <f t="shared" si="11"/>
        <v>0</v>
      </c>
      <c r="G77" s="152">
        <v>1200</v>
      </c>
      <c r="H77" s="30"/>
      <c r="I77" s="146"/>
      <c r="J77" s="76"/>
      <c r="K77" s="62" t="s">
        <v>118</v>
      </c>
      <c r="L77" s="63" t="s">
        <v>119</v>
      </c>
      <c r="M77" s="64"/>
      <c r="N77" s="64"/>
      <c r="O77" s="63"/>
    </row>
    <row r="78" s="10" customFormat="1" ht="18" customHeight="1" spans="1:15">
      <c r="A78" s="42">
        <v>43617</v>
      </c>
      <c r="B78" s="28">
        <f t="shared" si="10"/>
        <v>205</v>
      </c>
      <c r="C78" s="43"/>
      <c r="D78" s="44" t="s">
        <v>53</v>
      </c>
      <c r="E78" s="45"/>
      <c r="F78" s="28">
        <f t="shared" si="11"/>
        <v>0</v>
      </c>
      <c r="G78" s="152">
        <v>205</v>
      </c>
      <c r="H78" s="30"/>
      <c r="I78" s="146"/>
      <c r="J78" s="76"/>
      <c r="K78" s="62" t="s">
        <v>68</v>
      </c>
      <c r="L78" s="63" t="s">
        <v>120</v>
      </c>
      <c r="M78" s="64"/>
      <c r="N78" s="64"/>
      <c r="O78" s="63"/>
    </row>
    <row r="79" s="10" customFormat="1" ht="18" customHeight="1" spans="1:15">
      <c r="A79" s="42">
        <v>43617</v>
      </c>
      <c r="B79" s="28">
        <f t="shared" si="10"/>
        <v>56</v>
      </c>
      <c r="C79" s="43"/>
      <c r="D79" s="44" t="s">
        <v>53</v>
      </c>
      <c r="E79" s="45"/>
      <c r="F79" s="28">
        <f t="shared" si="11"/>
        <v>0</v>
      </c>
      <c r="G79" s="152">
        <v>56</v>
      </c>
      <c r="H79" s="30"/>
      <c r="I79" s="146"/>
      <c r="J79" s="76"/>
      <c r="K79" s="62" t="s">
        <v>68</v>
      </c>
      <c r="L79" s="63" t="s">
        <v>121</v>
      </c>
      <c r="M79" s="64"/>
      <c r="N79" s="64"/>
      <c r="O79" s="63"/>
    </row>
    <row r="80" s="10" customFormat="1" ht="18" customHeight="1" spans="1:15">
      <c r="A80" s="42">
        <v>43617</v>
      </c>
      <c r="B80" s="28">
        <f t="shared" si="10"/>
        <v>10</v>
      </c>
      <c r="C80" s="43"/>
      <c r="D80" s="44" t="s">
        <v>53</v>
      </c>
      <c r="E80" s="45"/>
      <c r="F80" s="28">
        <f t="shared" si="11"/>
        <v>0</v>
      </c>
      <c r="G80" s="152">
        <v>10</v>
      </c>
      <c r="H80" s="30"/>
      <c r="I80" s="146"/>
      <c r="J80" s="76"/>
      <c r="K80" s="62" t="s">
        <v>122</v>
      </c>
      <c r="L80" s="63" t="s">
        <v>123</v>
      </c>
      <c r="M80" s="64"/>
      <c r="N80" s="64"/>
      <c r="O80" s="63"/>
    </row>
    <row r="81" s="10" customFormat="1" ht="18" customHeight="1" spans="1:15">
      <c r="A81" s="42">
        <v>43617</v>
      </c>
      <c r="B81" s="28">
        <f t="shared" si="10"/>
        <v>9914</v>
      </c>
      <c r="C81" s="43"/>
      <c r="D81" s="44" t="s">
        <v>53</v>
      </c>
      <c r="E81" s="45"/>
      <c r="F81" s="28">
        <f t="shared" si="11"/>
        <v>0</v>
      </c>
      <c r="G81" s="152">
        <v>9914</v>
      </c>
      <c r="H81" s="30"/>
      <c r="I81" s="146"/>
      <c r="J81" s="76"/>
      <c r="K81" s="62" t="s">
        <v>122</v>
      </c>
      <c r="L81" s="63" t="s">
        <v>123</v>
      </c>
      <c r="M81" s="64"/>
      <c r="N81" s="64"/>
      <c r="O81" s="63"/>
    </row>
    <row r="82" s="10" customFormat="1" ht="18" customHeight="1" spans="1:15">
      <c r="A82" s="42">
        <v>43617</v>
      </c>
      <c r="B82" s="28">
        <f t="shared" si="10"/>
        <v>5260</v>
      </c>
      <c r="C82" s="43"/>
      <c r="D82" s="44" t="s">
        <v>53</v>
      </c>
      <c r="E82" s="45"/>
      <c r="F82" s="28">
        <f t="shared" si="11"/>
        <v>0</v>
      </c>
      <c r="G82" s="152">
        <f>375+150+300+545+505+370+400+370+290+390+390+480+495+200</f>
        <v>5260</v>
      </c>
      <c r="H82" s="30"/>
      <c r="I82" s="146"/>
      <c r="J82" s="76"/>
      <c r="K82" s="62" t="s">
        <v>107</v>
      </c>
      <c r="L82" s="63"/>
      <c r="M82" s="64"/>
      <c r="N82" s="64"/>
      <c r="O82" s="63"/>
    </row>
    <row r="83" s="10" customFormat="1" ht="18" customHeight="1" spans="1:15">
      <c r="A83" s="42">
        <v>43617</v>
      </c>
      <c r="B83" s="28">
        <f t="shared" si="10"/>
        <v>800</v>
      </c>
      <c r="C83" s="43"/>
      <c r="D83" s="44" t="s">
        <v>53</v>
      </c>
      <c r="E83" s="45"/>
      <c r="F83" s="28">
        <f t="shared" si="11"/>
        <v>0</v>
      </c>
      <c r="G83" s="152">
        <v>800</v>
      </c>
      <c r="H83" s="30"/>
      <c r="I83" s="146"/>
      <c r="J83" s="76"/>
      <c r="K83" s="63" t="s">
        <v>124</v>
      </c>
      <c r="L83" s="63" t="s">
        <v>124</v>
      </c>
      <c r="M83" s="64"/>
      <c r="N83" s="64"/>
      <c r="O83" s="63"/>
    </row>
    <row r="84" s="10" customFormat="1" ht="18" customHeight="1" spans="1:15">
      <c r="A84" s="42">
        <v>43617</v>
      </c>
      <c r="B84" s="28">
        <f t="shared" si="10"/>
        <v>540</v>
      </c>
      <c r="C84" s="43"/>
      <c r="D84" s="44" t="s">
        <v>53</v>
      </c>
      <c r="E84" s="45"/>
      <c r="F84" s="28">
        <f t="shared" si="11"/>
        <v>0</v>
      </c>
      <c r="G84" s="152">
        <f>30+15+15+75+85+15+15+15+15+15+15+15+15+15+15+30+30+25+25+15+15+15+15</f>
        <v>540</v>
      </c>
      <c r="H84" s="30"/>
      <c r="I84" s="146"/>
      <c r="J84" s="76"/>
      <c r="K84" s="62" t="s">
        <v>106</v>
      </c>
      <c r="L84" s="63"/>
      <c r="M84" s="64"/>
      <c r="N84" s="64"/>
      <c r="O84" s="63"/>
    </row>
    <row r="85" s="10" customFormat="1" ht="18" customHeight="1" spans="1:15">
      <c r="A85" s="42">
        <v>43617</v>
      </c>
      <c r="B85" s="28">
        <f t="shared" si="10"/>
        <v>970873.79</v>
      </c>
      <c r="C85" s="43"/>
      <c r="D85" s="44" t="s">
        <v>37</v>
      </c>
      <c r="E85" s="45">
        <v>0.03</v>
      </c>
      <c r="F85" s="28">
        <f t="shared" si="11"/>
        <v>29126.21</v>
      </c>
      <c r="G85" s="152">
        <f>90000*2+84000+86000+95000+95000+90000+95000+95000+90000+90000</f>
        <v>1000000</v>
      </c>
      <c r="H85" s="30"/>
      <c r="I85" s="146"/>
      <c r="J85" s="76"/>
      <c r="K85" s="62" t="s">
        <v>110</v>
      </c>
      <c r="L85" s="63" t="s">
        <v>125</v>
      </c>
      <c r="M85" s="64"/>
      <c r="N85" s="64"/>
      <c r="O85" s="63"/>
    </row>
    <row r="86" s="10" customFormat="1" ht="18" customHeight="1" spans="1:15">
      <c r="A86" s="42">
        <v>43617</v>
      </c>
      <c r="B86" s="28">
        <f t="shared" si="10"/>
        <v>292038.83</v>
      </c>
      <c r="C86" s="43"/>
      <c r="D86" s="44" t="s">
        <v>37</v>
      </c>
      <c r="E86" s="45">
        <v>0.03</v>
      </c>
      <c r="F86" s="28">
        <f t="shared" si="11"/>
        <v>8761.17</v>
      </c>
      <c r="G86" s="152">
        <f>30800+90000+90000+90000</f>
        <v>300800</v>
      </c>
      <c r="H86" s="30"/>
      <c r="I86" s="146"/>
      <c r="J86" s="76"/>
      <c r="K86" s="62" t="s">
        <v>110</v>
      </c>
      <c r="L86" s="63" t="s">
        <v>126</v>
      </c>
      <c r="M86" s="64"/>
      <c r="N86" s="64"/>
      <c r="O86" s="63"/>
    </row>
    <row r="87" s="10" customFormat="1" ht="18" customHeight="1" spans="1:15">
      <c r="A87" s="42">
        <v>43617</v>
      </c>
      <c r="B87" s="28">
        <f t="shared" si="10"/>
        <v>40000</v>
      </c>
      <c r="C87" s="43"/>
      <c r="D87" s="44" t="s">
        <v>53</v>
      </c>
      <c r="E87" s="45"/>
      <c r="F87" s="28">
        <f t="shared" si="11"/>
        <v>0</v>
      </c>
      <c r="G87" s="152">
        <v>40000</v>
      </c>
      <c r="H87" s="30"/>
      <c r="I87" s="146"/>
      <c r="J87" s="76"/>
      <c r="K87" s="62" t="s">
        <v>127</v>
      </c>
      <c r="L87" s="63" t="s">
        <v>128</v>
      </c>
      <c r="M87" s="64"/>
      <c r="N87" s="64"/>
      <c r="O87" s="63"/>
    </row>
    <row r="88" s="10" customFormat="1" ht="18" customHeight="1" spans="1:15">
      <c r="A88" s="42">
        <v>43617</v>
      </c>
      <c r="B88" s="28">
        <f t="shared" si="10"/>
        <v>8888.88</v>
      </c>
      <c r="C88" s="43"/>
      <c r="D88" s="44" t="s">
        <v>53</v>
      </c>
      <c r="E88" s="45"/>
      <c r="F88" s="28">
        <f t="shared" si="11"/>
        <v>0</v>
      </c>
      <c r="G88" s="152">
        <v>8888.88</v>
      </c>
      <c r="H88" s="30"/>
      <c r="I88" s="146"/>
      <c r="J88" s="76"/>
      <c r="K88" s="62" t="s">
        <v>122</v>
      </c>
      <c r="L88" s="63" t="s">
        <v>123</v>
      </c>
      <c r="M88" s="64"/>
      <c r="N88" s="64"/>
      <c r="O88" s="63"/>
    </row>
    <row r="89" s="10" customFormat="1" ht="18" customHeight="1" spans="1:15">
      <c r="A89" s="42">
        <v>43617</v>
      </c>
      <c r="B89" s="28">
        <f t="shared" si="10"/>
        <v>89224.63</v>
      </c>
      <c r="C89" s="43"/>
      <c r="D89" s="44" t="s">
        <v>37</v>
      </c>
      <c r="E89" s="45">
        <v>0.13</v>
      </c>
      <c r="F89" s="28">
        <f t="shared" si="11"/>
        <v>11599.2</v>
      </c>
      <c r="G89" s="152">
        <v>100823.83</v>
      </c>
      <c r="H89" s="30"/>
      <c r="I89" s="146"/>
      <c r="J89" s="76"/>
      <c r="K89" s="62" t="s">
        <v>108</v>
      </c>
      <c r="L89" s="63" t="s">
        <v>129</v>
      </c>
      <c r="M89" s="64"/>
      <c r="N89" s="64"/>
      <c r="O89" s="63"/>
    </row>
    <row r="90" s="10" customFormat="1" ht="18" customHeight="1" spans="1:15">
      <c r="A90" s="42">
        <v>43647</v>
      </c>
      <c r="B90" s="28">
        <f t="shared" si="10"/>
        <v>5452.83</v>
      </c>
      <c r="C90" s="43"/>
      <c r="D90" s="44" t="s">
        <v>37</v>
      </c>
      <c r="E90" s="45">
        <v>0.06</v>
      </c>
      <c r="F90" s="28">
        <f t="shared" si="11"/>
        <v>327.17</v>
      </c>
      <c r="G90" s="152">
        <v>5780</v>
      </c>
      <c r="H90" s="30"/>
      <c r="I90" s="146"/>
      <c r="J90" s="76"/>
      <c r="K90" s="62" t="s">
        <v>130</v>
      </c>
      <c r="L90" s="63" t="s">
        <v>131</v>
      </c>
      <c r="M90" s="64"/>
      <c r="N90" s="64"/>
      <c r="O90" s="63"/>
    </row>
    <row r="91" s="10" customFormat="1" ht="18" customHeight="1" spans="1:15">
      <c r="A91" s="42">
        <v>43647</v>
      </c>
      <c r="B91" s="28">
        <f t="shared" si="10"/>
        <v>48822</v>
      </c>
      <c r="C91" s="43"/>
      <c r="D91" s="44" t="s">
        <v>53</v>
      </c>
      <c r="E91" s="45"/>
      <c r="F91" s="28">
        <f t="shared" si="11"/>
        <v>0</v>
      </c>
      <c r="G91" s="152">
        <f>9991+9888+9476+9579+9888</f>
        <v>48822</v>
      </c>
      <c r="H91" s="30"/>
      <c r="I91" s="146"/>
      <c r="J91" s="76"/>
      <c r="K91" s="62" t="s">
        <v>132</v>
      </c>
      <c r="L91" s="63" t="s">
        <v>133</v>
      </c>
      <c r="M91" s="64"/>
      <c r="N91" s="64"/>
      <c r="O91" s="63"/>
    </row>
    <row r="92" s="10" customFormat="1" ht="18" customHeight="1" spans="1:15">
      <c r="A92" s="42">
        <v>43647</v>
      </c>
      <c r="B92" s="28">
        <f t="shared" si="10"/>
        <v>2780</v>
      </c>
      <c r="C92" s="43"/>
      <c r="D92" s="44" t="s">
        <v>53</v>
      </c>
      <c r="E92" s="45"/>
      <c r="F92" s="28">
        <f t="shared" si="11"/>
        <v>0</v>
      </c>
      <c r="G92" s="152">
        <f>320+360+370+510+480+270+270+200</f>
        <v>2780</v>
      </c>
      <c r="H92" s="30"/>
      <c r="I92" s="146"/>
      <c r="J92" s="76"/>
      <c r="K92" s="62" t="s">
        <v>83</v>
      </c>
      <c r="L92" s="63"/>
      <c r="M92" s="64"/>
      <c r="N92" s="64"/>
      <c r="O92" s="63"/>
    </row>
    <row r="93" s="10" customFormat="1" ht="18" customHeight="1" spans="1:15">
      <c r="A93" s="42">
        <v>43647</v>
      </c>
      <c r="B93" s="28">
        <f t="shared" si="10"/>
        <v>630</v>
      </c>
      <c r="C93" s="43"/>
      <c r="D93" s="44" t="s">
        <v>53</v>
      </c>
      <c r="E93" s="45"/>
      <c r="F93" s="28">
        <f t="shared" si="11"/>
        <v>0</v>
      </c>
      <c r="G93" s="152">
        <v>630</v>
      </c>
      <c r="H93" s="30"/>
      <c r="I93" s="146"/>
      <c r="J93" s="76"/>
      <c r="K93" s="62" t="s">
        <v>106</v>
      </c>
      <c r="L93" s="63"/>
      <c r="M93" s="64"/>
      <c r="N93" s="64"/>
      <c r="O93" s="63"/>
    </row>
    <row r="94" s="10" customFormat="1" ht="18" customHeight="1" spans="1:15">
      <c r="A94" s="42"/>
      <c r="B94" s="28">
        <f t="shared" si="10"/>
        <v>0</v>
      </c>
      <c r="C94" s="43"/>
      <c r="D94" s="44"/>
      <c r="E94" s="45"/>
      <c r="F94" s="28">
        <f t="shared" si="11"/>
        <v>0</v>
      </c>
      <c r="G94" s="152"/>
      <c r="H94" s="30">
        <v>43616</v>
      </c>
      <c r="I94" s="146">
        <v>1000000</v>
      </c>
      <c r="J94" s="76" t="s">
        <v>134</v>
      </c>
      <c r="K94" s="62" t="s">
        <v>110</v>
      </c>
      <c r="L94" s="63" t="s">
        <v>125</v>
      </c>
      <c r="M94" s="64"/>
      <c r="N94" s="64"/>
      <c r="O94" s="63"/>
    </row>
    <row r="95" s="10" customFormat="1" ht="18" customHeight="1" spans="1:15">
      <c r="A95" s="42"/>
      <c r="B95" s="28">
        <f t="shared" si="10"/>
        <v>0</v>
      </c>
      <c r="C95" s="43"/>
      <c r="D95" s="44"/>
      <c r="E95" s="45"/>
      <c r="F95" s="28">
        <f t="shared" si="11"/>
        <v>0</v>
      </c>
      <c r="G95" s="152"/>
      <c r="H95" s="30">
        <v>43616</v>
      </c>
      <c r="I95" s="146">
        <v>600000</v>
      </c>
      <c r="J95" s="76" t="s">
        <v>134</v>
      </c>
      <c r="K95" s="62" t="s">
        <v>110</v>
      </c>
      <c r="L95" s="63" t="s">
        <v>126</v>
      </c>
      <c r="M95" s="64"/>
      <c r="N95" s="64"/>
      <c r="O95" s="63"/>
    </row>
    <row r="96" s="10" customFormat="1" ht="18" customHeight="1" spans="1:15">
      <c r="A96" s="42"/>
      <c r="B96" s="28">
        <f t="shared" si="10"/>
        <v>0</v>
      </c>
      <c r="C96" s="43"/>
      <c r="D96" s="44"/>
      <c r="E96" s="45"/>
      <c r="F96" s="28">
        <f t="shared" si="11"/>
        <v>0</v>
      </c>
      <c r="G96" s="152"/>
      <c r="H96" s="30">
        <v>43616</v>
      </c>
      <c r="I96" s="146">
        <v>155793</v>
      </c>
      <c r="J96" s="76" t="s">
        <v>42</v>
      </c>
      <c r="K96" s="62" t="s">
        <v>43</v>
      </c>
      <c r="L96" s="63" t="s">
        <v>135</v>
      </c>
      <c r="M96" s="64"/>
      <c r="N96" s="64"/>
      <c r="O96" s="63"/>
    </row>
    <row r="97" s="10" customFormat="1" ht="18" customHeight="1" spans="1:15">
      <c r="A97" s="42"/>
      <c r="B97" s="28">
        <f t="shared" si="10"/>
        <v>0</v>
      </c>
      <c r="C97" s="43"/>
      <c r="D97" s="44"/>
      <c r="E97" s="45"/>
      <c r="F97" s="28">
        <f t="shared" si="11"/>
        <v>0</v>
      </c>
      <c r="G97" s="152"/>
      <c r="H97" s="73">
        <v>43621</v>
      </c>
      <c r="I97" s="153">
        <v>334437.04</v>
      </c>
      <c r="J97" s="78" t="s">
        <v>42</v>
      </c>
      <c r="K97" s="62" t="s">
        <v>43</v>
      </c>
      <c r="L97" s="63" t="s">
        <v>135</v>
      </c>
      <c r="M97" s="64"/>
      <c r="N97" s="64"/>
      <c r="O97" s="63"/>
    </row>
    <row r="98" s="10" customFormat="1" ht="18" customHeight="1" spans="1:15">
      <c r="A98" s="42"/>
      <c r="B98" s="28">
        <f t="shared" si="10"/>
        <v>0</v>
      </c>
      <c r="C98" s="43"/>
      <c r="D98" s="44"/>
      <c r="E98" s="45"/>
      <c r="F98" s="28">
        <f t="shared" si="11"/>
        <v>0</v>
      </c>
      <c r="G98" s="152"/>
      <c r="H98" s="74">
        <v>43626</v>
      </c>
      <c r="I98" s="155">
        <v>104800</v>
      </c>
      <c r="J98" s="80" t="s">
        <v>134</v>
      </c>
      <c r="K98" s="67" t="s">
        <v>46</v>
      </c>
      <c r="L98" s="63" t="s">
        <v>47</v>
      </c>
      <c r="M98" s="64"/>
      <c r="N98" s="64"/>
      <c r="O98" s="63"/>
    </row>
    <row r="99" s="10" customFormat="1" ht="18" customHeight="1" spans="1:15">
      <c r="A99" s="42"/>
      <c r="B99" s="28"/>
      <c r="C99" s="43"/>
      <c r="D99" s="44"/>
      <c r="E99" s="45"/>
      <c r="F99" s="28"/>
      <c r="G99" s="152"/>
      <c r="H99" s="74">
        <v>43626</v>
      </c>
      <c r="I99" s="155">
        <v>-104800</v>
      </c>
      <c r="J99" s="80" t="s">
        <v>42</v>
      </c>
      <c r="K99" s="67" t="s">
        <v>43</v>
      </c>
      <c r="L99" s="63"/>
      <c r="M99" s="64"/>
      <c r="N99" s="64"/>
      <c r="O99" s="63"/>
    </row>
    <row r="100" s="10" customFormat="1" ht="18" customHeight="1" spans="1:15">
      <c r="A100" s="42"/>
      <c r="B100" s="28">
        <f t="shared" ref="B100:B104" si="12">ROUND(G100/(1+E100),2)</f>
        <v>0</v>
      </c>
      <c r="C100" s="43"/>
      <c r="D100" s="44"/>
      <c r="E100" s="45"/>
      <c r="F100" s="28">
        <f t="shared" ref="F100:F104" si="13">ROUND(G100/(1+E100)*E100,2)</f>
        <v>0</v>
      </c>
      <c r="G100" s="152"/>
      <c r="H100" s="74">
        <v>43629</v>
      </c>
      <c r="I100" s="155">
        <v>76200</v>
      </c>
      <c r="J100" s="80" t="s">
        <v>134</v>
      </c>
      <c r="K100" s="67" t="s">
        <v>46</v>
      </c>
      <c r="L100" s="63" t="s">
        <v>47</v>
      </c>
      <c r="M100" s="64"/>
      <c r="N100" s="64"/>
      <c r="O100" s="63"/>
    </row>
    <row r="101" s="10" customFormat="1" ht="18" customHeight="1" spans="1:15">
      <c r="A101" s="42"/>
      <c r="B101" s="28"/>
      <c r="C101" s="43"/>
      <c r="D101" s="44"/>
      <c r="E101" s="45"/>
      <c r="F101" s="28"/>
      <c r="G101" s="152"/>
      <c r="H101" s="74">
        <v>43629</v>
      </c>
      <c r="I101" s="155">
        <v>-76200</v>
      </c>
      <c r="J101" s="80" t="s">
        <v>42</v>
      </c>
      <c r="K101" s="67" t="s">
        <v>43</v>
      </c>
      <c r="L101" s="63"/>
      <c r="M101" s="64"/>
      <c r="N101" s="64"/>
      <c r="O101" s="63"/>
    </row>
    <row r="102" s="10" customFormat="1" ht="18" customHeight="1" spans="1:15">
      <c r="A102" s="42"/>
      <c r="B102" s="28">
        <f t="shared" si="12"/>
        <v>0</v>
      </c>
      <c r="C102" s="43"/>
      <c r="D102" s="44"/>
      <c r="E102" s="45"/>
      <c r="F102" s="28">
        <f t="shared" si="13"/>
        <v>0</v>
      </c>
      <c r="G102" s="152"/>
      <c r="H102" s="74">
        <v>43634</v>
      </c>
      <c r="I102" s="155">
        <v>100823.83</v>
      </c>
      <c r="J102" s="80" t="s">
        <v>134</v>
      </c>
      <c r="K102" s="67" t="s">
        <v>108</v>
      </c>
      <c r="L102" s="63" t="s">
        <v>136</v>
      </c>
      <c r="M102" s="64"/>
      <c r="N102" s="64"/>
      <c r="O102" s="63"/>
    </row>
    <row r="103" s="10" customFormat="1" ht="18" customHeight="1" spans="1:15">
      <c r="A103" s="42"/>
      <c r="B103" s="28"/>
      <c r="C103" s="43"/>
      <c r="D103" s="44"/>
      <c r="E103" s="45"/>
      <c r="F103" s="28"/>
      <c r="G103" s="152"/>
      <c r="H103" s="74">
        <v>43634</v>
      </c>
      <c r="I103" s="155">
        <v>-100823.83</v>
      </c>
      <c r="J103" s="80" t="s">
        <v>42</v>
      </c>
      <c r="K103" s="67" t="s">
        <v>43</v>
      </c>
      <c r="L103" s="63"/>
      <c r="M103" s="64"/>
      <c r="N103" s="64"/>
      <c r="O103" s="63"/>
    </row>
    <row r="104" s="10" customFormat="1" ht="18" customHeight="1" spans="1:15">
      <c r="A104" s="42"/>
      <c r="B104" s="28">
        <f t="shared" si="12"/>
        <v>0</v>
      </c>
      <c r="C104" s="43"/>
      <c r="D104" s="44"/>
      <c r="E104" s="45"/>
      <c r="F104" s="28">
        <f t="shared" si="13"/>
        <v>0</v>
      </c>
      <c r="G104" s="152"/>
      <c r="H104" s="74">
        <v>43636</v>
      </c>
      <c r="I104" s="155">
        <v>101600</v>
      </c>
      <c r="J104" s="80" t="s">
        <v>134</v>
      </c>
      <c r="K104" s="67" t="s">
        <v>46</v>
      </c>
      <c r="L104" s="63" t="s">
        <v>47</v>
      </c>
      <c r="M104" s="64"/>
      <c r="N104" s="64"/>
      <c r="O104" s="63"/>
    </row>
    <row r="105" s="10" customFormat="1" ht="18" customHeight="1" spans="1:15">
      <c r="A105" s="42"/>
      <c r="B105" s="28"/>
      <c r="C105" s="43"/>
      <c r="D105" s="44"/>
      <c r="E105" s="45"/>
      <c r="F105" s="28"/>
      <c r="G105" s="152"/>
      <c r="H105" s="74">
        <v>43636</v>
      </c>
      <c r="I105" s="155">
        <v>-101600</v>
      </c>
      <c r="J105" s="80" t="s">
        <v>42</v>
      </c>
      <c r="K105" s="67" t="s">
        <v>43</v>
      </c>
      <c r="L105" s="63"/>
      <c r="M105" s="64"/>
      <c r="N105" s="64"/>
      <c r="O105" s="63"/>
    </row>
    <row r="106" s="10" customFormat="1" ht="18" customHeight="1" spans="1:15">
      <c r="A106" s="42"/>
      <c r="B106" s="28">
        <f t="shared" ref="B106:B171" si="14">ROUND(G106/(1+E106),2)</f>
        <v>0</v>
      </c>
      <c r="C106" s="43"/>
      <c r="D106" s="44"/>
      <c r="E106" s="45"/>
      <c r="F106" s="28">
        <f t="shared" ref="F106:F171" si="15">ROUND(G106/(1+E106)*E106,2)</f>
        <v>0</v>
      </c>
      <c r="G106" s="152"/>
      <c r="H106" s="74">
        <v>43641</v>
      </c>
      <c r="I106" s="155">
        <v>165186</v>
      </c>
      <c r="J106" s="80" t="s">
        <v>134</v>
      </c>
      <c r="K106" s="67" t="s">
        <v>137</v>
      </c>
      <c r="L106" s="63" t="s">
        <v>138</v>
      </c>
      <c r="M106" s="64"/>
      <c r="N106" s="64"/>
      <c r="O106" s="63"/>
    </row>
    <row r="107" s="10" customFormat="1" ht="18" customHeight="1" spans="1:15">
      <c r="A107" s="42"/>
      <c r="B107" s="28"/>
      <c r="C107" s="43"/>
      <c r="D107" s="44"/>
      <c r="E107" s="45"/>
      <c r="F107" s="28"/>
      <c r="G107" s="152"/>
      <c r="H107" s="74">
        <v>43641</v>
      </c>
      <c r="I107" s="155">
        <v>-165186</v>
      </c>
      <c r="J107" s="80" t="s">
        <v>42</v>
      </c>
      <c r="K107" s="67" t="s">
        <v>43</v>
      </c>
      <c r="L107" s="63"/>
      <c r="M107" s="64"/>
      <c r="N107" s="64"/>
      <c r="O107" s="63"/>
    </row>
    <row r="108" s="10" customFormat="1" ht="18" customHeight="1" spans="1:15">
      <c r="A108" s="42">
        <v>43647</v>
      </c>
      <c r="B108" s="28">
        <f t="shared" si="14"/>
        <v>340353.98</v>
      </c>
      <c r="C108" s="43"/>
      <c r="D108" s="44" t="s">
        <v>37</v>
      </c>
      <c r="E108" s="45">
        <v>0.13</v>
      </c>
      <c r="F108" s="28">
        <f t="shared" si="15"/>
        <v>44246.02</v>
      </c>
      <c r="G108" s="152">
        <f>80000*3+21600+99000+24000</f>
        <v>384600</v>
      </c>
      <c r="H108" s="74">
        <v>43651</v>
      </c>
      <c r="I108" s="155">
        <v>104000</v>
      </c>
      <c r="J108" s="80" t="s">
        <v>134</v>
      </c>
      <c r="K108" s="67" t="s">
        <v>46</v>
      </c>
      <c r="L108" s="63" t="s">
        <v>47</v>
      </c>
      <c r="M108" s="64"/>
      <c r="N108" s="64"/>
      <c r="O108" s="63"/>
    </row>
    <row r="109" s="10" customFormat="1" ht="18" customHeight="1" spans="1:15">
      <c r="A109" s="42"/>
      <c r="B109" s="28"/>
      <c r="C109" s="43"/>
      <c r="D109" s="44"/>
      <c r="E109" s="45"/>
      <c r="F109" s="28"/>
      <c r="G109" s="152"/>
      <c r="H109" s="74">
        <v>43651</v>
      </c>
      <c r="I109" s="155">
        <v>-104000</v>
      </c>
      <c r="J109" s="80" t="s">
        <v>42</v>
      </c>
      <c r="K109" s="67" t="s">
        <v>43</v>
      </c>
      <c r="L109" s="63"/>
      <c r="M109" s="64"/>
      <c r="N109" s="64"/>
      <c r="O109" s="63"/>
    </row>
    <row r="110" s="10" customFormat="1" ht="18" customHeight="1" spans="1:15">
      <c r="A110" s="42"/>
      <c r="B110" s="28">
        <f t="shared" si="14"/>
        <v>0</v>
      </c>
      <c r="C110" s="43"/>
      <c r="D110" s="44"/>
      <c r="E110" s="45"/>
      <c r="F110" s="28">
        <f t="shared" si="15"/>
        <v>0</v>
      </c>
      <c r="G110" s="152"/>
      <c r="H110" s="74">
        <v>43665</v>
      </c>
      <c r="I110" s="155">
        <v>109600</v>
      </c>
      <c r="J110" s="80" t="s">
        <v>134</v>
      </c>
      <c r="K110" s="67" t="s">
        <v>46</v>
      </c>
      <c r="L110" s="63" t="s">
        <v>47</v>
      </c>
      <c r="M110" s="64"/>
      <c r="N110" s="64"/>
      <c r="O110" s="63"/>
    </row>
    <row r="111" s="10" customFormat="1" ht="18" customHeight="1" spans="1:15">
      <c r="A111" s="42"/>
      <c r="B111" s="28">
        <f t="shared" si="14"/>
        <v>0</v>
      </c>
      <c r="C111" s="43"/>
      <c r="D111" s="44"/>
      <c r="E111" s="45"/>
      <c r="F111" s="28">
        <f t="shared" si="15"/>
        <v>0</v>
      </c>
      <c r="G111" s="152"/>
      <c r="H111" s="74">
        <v>43665</v>
      </c>
      <c r="I111" s="155">
        <v>-109600</v>
      </c>
      <c r="J111" s="80" t="s">
        <v>42</v>
      </c>
      <c r="K111" s="67" t="s">
        <v>43</v>
      </c>
      <c r="L111" s="63"/>
      <c r="M111" s="64"/>
      <c r="N111" s="64"/>
      <c r="O111" s="63"/>
    </row>
    <row r="112" s="10" customFormat="1" ht="18" customHeight="1" spans="1:15">
      <c r="A112" s="42">
        <v>43647</v>
      </c>
      <c r="B112" s="28">
        <f t="shared" si="14"/>
        <v>4920.35</v>
      </c>
      <c r="C112" s="43"/>
      <c r="D112" s="44" t="s">
        <v>37</v>
      </c>
      <c r="E112" s="45">
        <v>0.13</v>
      </c>
      <c r="F112" s="28">
        <f t="shared" si="15"/>
        <v>639.65</v>
      </c>
      <c r="G112" s="152">
        <v>5560</v>
      </c>
      <c r="H112" s="159"/>
      <c r="I112" s="160"/>
      <c r="J112" s="161"/>
      <c r="K112" s="67" t="s">
        <v>139</v>
      </c>
      <c r="L112" s="63" t="s">
        <v>140</v>
      </c>
      <c r="M112" s="64"/>
      <c r="N112" s="64"/>
      <c r="O112" s="63"/>
    </row>
    <row r="113" s="10" customFormat="1" ht="18" customHeight="1" spans="1:15">
      <c r="A113" s="42">
        <v>43647</v>
      </c>
      <c r="B113" s="28">
        <f t="shared" si="14"/>
        <v>1018.58</v>
      </c>
      <c r="C113" s="43"/>
      <c r="D113" s="44" t="s">
        <v>37</v>
      </c>
      <c r="E113" s="45">
        <v>0.13</v>
      </c>
      <c r="F113" s="28">
        <f t="shared" si="15"/>
        <v>132.42</v>
      </c>
      <c r="G113" s="152">
        <v>1151</v>
      </c>
      <c r="H113" s="30"/>
      <c r="I113" s="146"/>
      <c r="J113" s="57"/>
      <c r="K113" s="67" t="s">
        <v>141</v>
      </c>
      <c r="L113" s="63" t="s">
        <v>142</v>
      </c>
      <c r="M113" s="64"/>
      <c r="N113" s="64"/>
      <c r="O113" s="63"/>
    </row>
    <row r="114" s="10" customFormat="1" ht="18" customHeight="1" spans="1:15">
      <c r="A114" s="42">
        <v>43647</v>
      </c>
      <c r="B114" s="28">
        <f t="shared" si="14"/>
        <v>1087.38</v>
      </c>
      <c r="C114" s="43"/>
      <c r="D114" s="44" t="s">
        <v>37</v>
      </c>
      <c r="E114" s="45">
        <v>0.03</v>
      </c>
      <c r="F114" s="28">
        <f t="shared" si="15"/>
        <v>32.62</v>
      </c>
      <c r="G114" s="152">
        <v>1120</v>
      </c>
      <c r="H114" s="30"/>
      <c r="I114" s="146"/>
      <c r="J114" s="57"/>
      <c r="K114" s="67" t="s">
        <v>143</v>
      </c>
      <c r="L114" s="63" t="s">
        <v>144</v>
      </c>
      <c r="M114" s="64"/>
      <c r="N114" s="64"/>
      <c r="O114" s="63"/>
    </row>
    <row r="115" s="10" customFormat="1" ht="18" customHeight="1" spans="1:15">
      <c r="A115" s="42">
        <v>43647</v>
      </c>
      <c r="B115" s="28">
        <f t="shared" si="14"/>
        <v>1509.43</v>
      </c>
      <c r="C115" s="43"/>
      <c r="D115" s="44" t="s">
        <v>37</v>
      </c>
      <c r="E115" s="45">
        <v>0.06</v>
      </c>
      <c r="F115" s="28">
        <f t="shared" si="15"/>
        <v>90.57</v>
      </c>
      <c r="G115" s="152">
        <f>800+800</f>
        <v>1600</v>
      </c>
      <c r="H115" s="30"/>
      <c r="I115" s="146"/>
      <c r="J115" s="57"/>
      <c r="K115" s="67" t="s">
        <v>145</v>
      </c>
      <c r="L115" s="63" t="s">
        <v>67</v>
      </c>
      <c r="M115" s="64"/>
      <c r="N115" s="64"/>
      <c r="O115" s="63"/>
    </row>
    <row r="116" s="10" customFormat="1" ht="18" customHeight="1" spans="1:15">
      <c r="A116" s="42">
        <v>43647</v>
      </c>
      <c r="B116" s="28">
        <f t="shared" si="14"/>
        <v>4426.55</v>
      </c>
      <c r="C116" s="43"/>
      <c r="D116" s="44" t="s">
        <v>37</v>
      </c>
      <c r="E116" s="45">
        <v>0.13</v>
      </c>
      <c r="F116" s="28">
        <f t="shared" si="15"/>
        <v>575.45</v>
      </c>
      <c r="G116" s="152">
        <v>5002</v>
      </c>
      <c r="H116" s="30"/>
      <c r="I116" s="146"/>
      <c r="J116" s="57"/>
      <c r="K116" s="67" t="s">
        <v>112</v>
      </c>
      <c r="L116" s="63" t="s">
        <v>58</v>
      </c>
      <c r="M116" s="64"/>
      <c r="N116" s="64"/>
      <c r="O116" s="63"/>
    </row>
    <row r="117" s="10" customFormat="1" ht="18" customHeight="1" spans="1:15">
      <c r="A117" s="42">
        <v>43647</v>
      </c>
      <c r="B117" s="28">
        <f t="shared" si="14"/>
        <v>1081</v>
      </c>
      <c r="C117" s="43"/>
      <c r="D117" s="44" t="s">
        <v>53</v>
      </c>
      <c r="E117" s="45"/>
      <c r="F117" s="28">
        <f t="shared" si="15"/>
        <v>0</v>
      </c>
      <c r="G117" s="152">
        <f>291+138+652</f>
        <v>1081</v>
      </c>
      <c r="H117" s="30"/>
      <c r="I117" s="146"/>
      <c r="J117" s="57"/>
      <c r="K117" s="67" t="s">
        <v>146</v>
      </c>
      <c r="L117" s="63" t="s">
        <v>67</v>
      </c>
      <c r="M117" s="64"/>
      <c r="N117" s="64"/>
      <c r="O117" s="63"/>
    </row>
    <row r="118" s="10" customFormat="1" ht="18" customHeight="1" spans="1:15">
      <c r="A118" s="42">
        <v>43647</v>
      </c>
      <c r="B118" s="28">
        <f t="shared" si="14"/>
        <v>3050</v>
      </c>
      <c r="C118" s="43"/>
      <c r="D118" s="44" t="s">
        <v>53</v>
      </c>
      <c r="E118" s="45"/>
      <c r="F118" s="28">
        <f t="shared" si="15"/>
        <v>0</v>
      </c>
      <c r="G118" s="152">
        <f>200+320+360+350+340+480+520+200+280</f>
        <v>3050</v>
      </c>
      <c r="H118" s="30"/>
      <c r="I118" s="146"/>
      <c r="J118" s="57"/>
      <c r="K118" s="67" t="s">
        <v>147</v>
      </c>
      <c r="L118" s="63" t="s">
        <v>62</v>
      </c>
      <c r="M118" s="64"/>
      <c r="N118" s="64"/>
      <c r="O118" s="63"/>
    </row>
    <row r="119" s="10" customFormat="1" ht="18" customHeight="1" spans="1:15">
      <c r="A119" s="42">
        <v>43647</v>
      </c>
      <c r="B119" s="28">
        <f t="shared" si="14"/>
        <v>500</v>
      </c>
      <c r="C119" s="43"/>
      <c r="D119" s="44" t="s">
        <v>53</v>
      </c>
      <c r="E119" s="45"/>
      <c r="F119" s="28">
        <f t="shared" si="15"/>
        <v>0</v>
      </c>
      <c r="G119" s="152">
        <v>500</v>
      </c>
      <c r="H119" s="30"/>
      <c r="I119" s="146"/>
      <c r="J119" s="57"/>
      <c r="K119" s="67" t="s">
        <v>104</v>
      </c>
      <c r="L119" s="63" t="s">
        <v>148</v>
      </c>
      <c r="M119" s="64"/>
      <c r="N119" s="64"/>
      <c r="O119" s="63"/>
    </row>
    <row r="120" s="10" customFormat="1" ht="18" customHeight="1" spans="1:15">
      <c r="A120" s="42">
        <v>43647</v>
      </c>
      <c r="B120" s="28">
        <f t="shared" si="14"/>
        <v>2475</v>
      </c>
      <c r="C120" s="43"/>
      <c r="D120" s="44" t="s">
        <v>53</v>
      </c>
      <c r="E120" s="45"/>
      <c r="F120" s="28">
        <f t="shared" si="15"/>
        <v>0</v>
      </c>
      <c r="G120" s="152">
        <v>2475</v>
      </c>
      <c r="H120" s="30"/>
      <c r="I120" s="146"/>
      <c r="J120" s="57"/>
      <c r="K120" s="67" t="s">
        <v>149</v>
      </c>
      <c r="L120" s="63" t="s">
        <v>150</v>
      </c>
      <c r="M120" s="64"/>
      <c r="N120" s="64"/>
      <c r="O120" s="63"/>
    </row>
    <row r="121" s="10" customFormat="1" ht="18" customHeight="1" spans="1:15">
      <c r="A121" s="42">
        <v>43647</v>
      </c>
      <c r="B121" s="28">
        <f t="shared" si="14"/>
        <v>4400</v>
      </c>
      <c r="C121" s="43"/>
      <c r="D121" s="44" t="s">
        <v>53</v>
      </c>
      <c r="E121" s="45"/>
      <c r="F121" s="28">
        <f t="shared" si="15"/>
        <v>0</v>
      </c>
      <c r="G121" s="152">
        <v>4400</v>
      </c>
      <c r="H121" s="30"/>
      <c r="I121" s="146"/>
      <c r="J121" s="57"/>
      <c r="K121" s="67" t="s">
        <v>149</v>
      </c>
      <c r="L121" s="63" t="s">
        <v>151</v>
      </c>
      <c r="M121" s="64"/>
      <c r="N121" s="64"/>
      <c r="O121" s="63"/>
    </row>
    <row r="122" s="10" customFormat="1" ht="18" customHeight="1" spans="1:15">
      <c r="A122" s="42">
        <v>43647</v>
      </c>
      <c r="B122" s="28">
        <f t="shared" si="14"/>
        <v>5700</v>
      </c>
      <c r="C122" s="43"/>
      <c r="D122" s="44" t="s">
        <v>53</v>
      </c>
      <c r="E122" s="45"/>
      <c r="F122" s="28">
        <f t="shared" si="15"/>
        <v>0</v>
      </c>
      <c r="G122" s="152">
        <v>5700</v>
      </c>
      <c r="H122" s="30"/>
      <c r="I122" s="146"/>
      <c r="J122" s="57"/>
      <c r="K122" s="67" t="s">
        <v>98</v>
      </c>
      <c r="L122" s="63" t="s">
        <v>152</v>
      </c>
      <c r="M122" s="64"/>
      <c r="N122" s="64"/>
      <c r="O122" s="63"/>
    </row>
    <row r="123" s="10" customFormat="1" ht="18" customHeight="1" spans="1:15">
      <c r="A123" s="42">
        <v>43647</v>
      </c>
      <c r="B123" s="28">
        <f t="shared" si="14"/>
        <v>5547</v>
      </c>
      <c r="C123" s="43"/>
      <c r="D123" s="44" t="s">
        <v>53</v>
      </c>
      <c r="E123" s="45"/>
      <c r="F123" s="28">
        <f t="shared" si="15"/>
        <v>0</v>
      </c>
      <c r="G123" s="152">
        <v>5547</v>
      </c>
      <c r="H123" s="30"/>
      <c r="I123" s="146"/>
      <c r="J123" s="57"/>
      <c r="K123" s="67" t="s">
        <v>153</v>
      </c>
      <c r="L123" s="63" t="s">
        <v>154</v>
      </c>
      <c r="M123" s="64"/>
      <c r="N123" s="64"/>
      <c r="O123" s="63"/>
    </row>
    <row r="124" s="10" customFormat="1" ht="18" customHeight="1" spans="1:15">
      <c r="A124" s="42">
        <v>43647</v>
      </c>
      <c r="B124" s="28">
        <f t="shared" si="14"/>
        <v>360</v>
      </c>
      <c r="C124" s="43"/>
      <c r="D124" s="44" t="s">
        <v>53</v>
      </c>
      <c r="E124" s="45"/>
      <c r="F124" s="28">
        <f t="shared" si="15"/>
        <v>0</v>
      </c>
      <c r="G124" s="152">
        <v>360</v>
      </c>
      <c r="H124" s="30"/>
      <c r="I124" s="146"/>
      <c r="J124" s="57"/>
      <c r="K124" s="67" t="s">
        <v>155</v>
      </c>
      <c r="L124" s="63" t="s">
        <v>156</v>
      </c>
      <c r="M124" s="64"/>
      <c r="N124" s="64"/>
      <c r="O124" s="63"/>
    </row>
    <row r="125" s="10" customFormat="1" ht="18" customHeight="1" spans="1:15">
      <c r="A125" s="42">
        <v>43647</v>
      </c>
      <c r="B125" s="28">
        <f t="shared" si="14"/>
        <v>868.5</v>
      </c>
      <c r="C125" s="43"/>
      <c r="D125" s="44" t="s">
        <v>53</v>
      </c>
      <c r="E125" s="45"/>
      <c r="F125" s="28">
        <f t="shared" si="15"/>
        <v>0</v>
      </c>
      <c r="G125" s="152">
        <v>868.5</v>
      </c>
      <c r="H125" s="30"/>
      <c r="I125" s="146"/>
      <c r="J125" s="57"/>
      <c r="K125" s="67" t="s">
        <v>157</v>
      </c>
      <c r="L125" s="63" t="s">
        <v>158</v>
      </c>
      <c r="M125" s="64"/>
      <c r="N125" s="64"/>
      <c r="O125" s="63"/>
    </row>
    <row r="126" s="10" customFormat="1" ht="18" customHeight="1" spans="1:15">
      <c r="A126" s="42">
        <v>43647</v>
      </c>
      <c r="B126" s="28">
        <f t="shared" si="14"/>
        <v>1345</v>
      </c>
      <c r="C126" s="43"/>
      <c r="D126" s="44" t="s">
        <v>53</v>
      </c>
      <c r="E126" s="45"/>
      <c r="F126" s="28">
        <f t="shared" si="15"/>
        <v>0</v>
      </c>
      <c r="G126" s="152">
        <f>10*9+15*44+25*3+30*7+35*4+40+31*2+34*2</f>
        <v>1345</v>
      </c>
      <c r="H126" s="30"/>
      <c r="I126" s="146"/>
      <c r="J126" s="57"/>
      <c r="K126" s="63" t="s">
        <v>106</v>
      </c>
      <c r="L126" s="63" t="s">
        <v>106</v>
      </c>
      <c r="M126" s="64"/>
      <c r="N126" s="64"/>
      <c r="O126" s="63"/>
    </row>
    <row r="127" s="10" customFormat="1" ht="18" customHeight="1" spans="1:15">
      <c r="A127" s="109">
        <v>43647</v>
      </c>
      <c r="B127" s="28">
        <f t="shared" si="14"/>
        <v>102654.87</v>
      </c>
      <c r="C127" s="43"/>
      <c r="D127" s="44" t="s">
        <v>37</v>
      </c>
      <c r="E127" s="45">
        <v>0.13</v>
      </c>
      <c r="F127" s="28">
        <f t="shared" si="15"/>
        <v>13345.13</v>
      </c>
      <c r="G127" s="152">
        <f>80000+36000</f>
        <v>116000</v>
      </c>
      <c r="H127" s="30">
        <v>43675</v>
      </c>
      <c r="I127" s="146">
        <v>116000</v>
      </c>
      <c r="J127" s="57" t="s">
        <v>134</v>
      </c>
      <c r="K127" s="67" t="s">
        <v>46</v>
      </c>
      <c r="L127" s="63" t="s">
        <v>47</v>
      </c>
      <c r="M127" s="64"/>
      <c r="N127" s="64"/>
      <c r="O127" s="63"/>
    </row>
    <row r="128" s="10" customFormat="1" ht="18" customHeight="1" spans="1:15">
      <c r="A128" s="42"/>
      <c r="B128" s="28">
        <f t="shared" si="14"/>
        <v>0</v>
      </c>
      <c r="C128" s="43"/>
      <c r="D128" s="44"/>
      <c r="E128" s="45"/>
      <c r="F128" s="28">
        <f t="shared" si="15"/>
        <v>0</v>
      </c>
      <c r="G128" s="152"/>
      <c r="H128" s="30">
        <v>43676</v>
      </c>
      <c r="I128" s="146">
        <v>-116000</v>
      </c>
      <c r="J128" s="57" t="s">
        <v>42</v>
      </c>
      <c r="K128" s="67" t="s">
        <v>43</v>
      </c>
      <c r="L128" s="63"/>
      <c r="M128" s="64"/>
      <c r="N128" s="64"/>
      <c r="O128" s="63"/>
    </row>
    <row r="129" ht="18" customHeight="1" spans="1:15">
      <c r="A129" s="109">
        <v>43647</v>
      </c>
      <c r="B129" s="8">
        <f t="shared" si="14"/>
        <v>484951.46</v>
      </c>
      <c r="C129" s="110"/>
      <c r="D129" s="44" t="s">
        <v>37</v>
      </c>
      <c r="E129" s="114">
        <v>0.03</v>
      </c>
      <c r="F129" s="8">
        <f t="shared" si="15"/>
        <v>14548.54</v>
      </c>
      <c r="G129" s="162">
        <v>499500</v>
      </c>
      <c r="H129" s="30">
        <v>43679</v>
      </c>
      <c r="I129" s="146">
        <v>499500</v>
      </c>
      <c r="J129" s="57" t="s">
        <v>134</v>
      </c>
      <c r="K129" s="165" t="s">
        <v>110</v>
      </c>
      <c r="L129" s="41" t="s">
        <v>159</v>
      </c>
      <c r="M129" s="57"/>
      <c r="N129" s="57"/>
      <c r="O129" s="41"/>
    </row>
    <row r="130" ht="18" customHeight="1" spans="1:15">
      <c r="A130" s="109">
        <v>43647</v>
      </c>
      <c r="B130" s="8">
        <f t="shared" si="14"/>
        <v>1259951.46</v>
      </c>
      <c r="C130" s="110"/>
      <c r="D130" s="44" t="s">
        <v>37</v>
      </c>
      <c r="E130" s="114">
        <v>0.03</v>
      </c>
      <c r="F130" s="8">
        <f t="shared" si="15"/>
        <v>37798.54</v>
      </c>
      <c r="G130" s="162">
        <f>99950*6+99900+99600+99600+99600+99800+99600+99950</f>
        <v>1297750</v>
      </c>
      <c r="H130" s="30">
        <v>43679</v>
      </c>
      <c r="I130" s="146">
        <v>1297750</v>
      </c>
      <c r="J130" s="57" t="s">
        <v>134</v>
      </c>
      <c r="K130" s="129" t="s">
        <v>160</v>
      </c>
      <c r="L130" s="41" t="s">
        <v>161</v>
      </c>
      <c r="M130" s="57"/>
      <c r="N130" s="57"/>
      <c r="O130" s="41"/>
    </row>
    <row r="131" ht="18" customHeight="1" spans="1:15">
      <c r="A131" s="109">
        <v>43647</v>
      </c>
      <c r="B131" s="8">
        <f t="shared" si="14"/>
        <v>176932.74</v>
      </c>
      <c r="C131" s="110"/>
      <c r="D131" s="44" t="s">
        <v>37</v>
      </c>
      <c r="E131" s="114">
        <v>0.13</v>
      </c>
      <c r="F131" s="8">
        <f t="shared" si="15"/>
        <v>23001.26</v>
      </c>
      <c r="G131" s="162">
        <f>67546+132388</f>
        <v>199934</v>
      </c>
      <c r="H131" s="30"/>
      <c r="I131" s="146"/>
      <c r="J131" s="57"/>
      <c r="K131" s="129" t="s">
        <v>137</v>
      </c>
      <c r="L131" s="41" t="s">
        <v>138</v>
      </c>
      <c r="M131" s="57"/>
      <c r="N131" s="57"/>
      <c r="O131" s="41"/>
    </row>
    <row r="132" ht="18" customHeight="1" spans="1:15">
      <c r="A132" s="109">
        <v>43647</v>
      </c>
      <c r="B132" s="8">
        <f t="shared" si="14"/>
        <v>16407.77</v>
      </c>
      <c r="C132" s="110"/>
      <c r="D132" s="44" t="s">
        <v>37</v>
      </c>
      <c r="E132" s="114">
        <v>0.03</v>
      </c>
      <c r="F132" s="8">
        <f t="shared" si="15"/>
        <v>492.23</v>
      </c>
      <c r="G132" s="162">
        <v>16900</v>
      </c>
      <c r="H132" s="30"/>
      <c r="I132" s="146"/>
      <c r="J132" s="57"/>
      <c r="K132" s="129" t="s">
        <v>51</v>
      </c>
      <c r="L132" s="41" t="s">
        <v>55</v>
      </c>
      <c r="M132" s="57"/>
      <c r="N132" s="57"/>
      <c r="O132" s="41"/>
    </row>
    <row r="133" s="13" customFormat="1" ht="18" customHeight="1" spans="1:15">
      <c r="A133" s="163"/>
      <c r="B133" s="8">
        <f t="shared" si="14"/>
        <v>0</v>
      </c>
      <c r="C133" s="110"/>
      <c r="D133" s="111"/>
      <c r="E133" s="114"/>
      <c r="F133" s="8">
        <f t="shared" si="15"/>
        <v>0</v>
      </c>
      <c r="G133" s="164"/>
      <c r="H133" s="30">
        <v>43679</v>
      </c>
      <c r="I133" s="146">
        <v>800000</v>
      </c>
      <c r="J133" s="57" t="s">
        <v>42</v>
      </c>
      <c r="K133" s="129" t="s">
        <v>162</v>
      </c>
      <c r="L133" s="41" t="s">
        <v>163</v>
      </c>
      <c r="M133" s="105"/>
      <c r="N133" s="105"/>
      <c r="O133" s="106"/>
    </row>
    <row r="134" s="13" customFormat="1" ht="18" customHeight="1" spans="1:15">
      <c r="A134" s="109">
        <v>43647</v>
      </c>
      <c r="B134" s="8">
        <f t="shared" si="14"/>
        <v>4975</v>
      </c>
      <c r="C134" s="110"/>
      <c r="D134" s="111" t="s">
        <v>53</v>
      </c>
      <c r="E134" s="114"/>
      <c r="F134" s="8">
        <f t="shared" si="15"/>
        <v>0</v>
      </c>
      <c r="G134" s="162">
        <f>285+300+430+340+340+320+330+200+310+100+100+200+500+280+440+500</f>
        <v>4975</v>
      </c>
      <c r="H134" s="99"/>
      <c r="I134" s="166"/>
      <c r="J134" s="105"/>
      <c r="K134" s="129" t="s">
        <v>147</v>
      </c>
      <c r="L134" s="41" t="s">
        <v>62</v>
      </c>
      <c r="M134" s="105"/>
      <c r="N134" s="105"/>
      <c r="O134" s="106"/>
    </row>
    <row r="135" s="13" customFormat="1" ht="18" customHeight="1" spans="1:15">
      <c r="A135" s="109">
        <v>43647</v>
      </c>
      <c r="B135" s="8">
        <f t="shared" si="14"/>
        <v>1760</v>
      </c>
      <c r="C135" s="110"/>
      <c r="D135" s="111" t="s">
        <v>53</v>
      </c>
      <c r="E135" s="114"/>
      <c r="F135" s="8">
        <f t="shared" si="15"/>
        <v>0</v>
      </c>
      <c r="G135" s="162">
        <v>1760</v>
      </c>
      <c r="H135" s="99"/>
      <c r="I135" s="166"/>
      <c r="J135" s="105"/>
      <c r="K135" s="129" t="s">
        <v>70</v>
      </c>
      <c r="L135" s="41" t="s">
        <v>164</v>
      </c>
      <c r="M135" s="105"/>
      <c r="N135" s="105"/>
      <c r="O135" s="106"/>
    </row>
    <row r="136" s="13" customFormat="1" ht="18" customHeight="1" spans="1:15">
      <c r="A136" s="109">
        <v>43647</v>
      </c>
      <c r="B136" s="8">
        <f t="shared" si="14"/>
        <v>450</v>
      </c>
      <c r="C136" s="110"/>
      <c r="D136" s="111" t="s">
        <v>53</v>
      </c>
      <c r="E136" s="114"/>
      <c r="F136" s="8">
        <f t="shared" si="15"/>
        <v>0</v>
      </c>
      <c r="G136" s="162">
        <v>450</v>
      </c>
      <c r="H136" s="99"/>
      <c r="I136" s="166"/>
      <c r="J136" s="105"/>
      <c r="K136" s="129" t="s">
        <v>85</v>
      </c>
      <c r="L136" s="41" t="s">
        <v>58</v>
      </c>
      <c r="M136" s="105"/>
      <c r="N136" s="105"/>
      <c r="O136" s="106"/>
    </row>
    <row r="137" s="13" customFormat="1" ht="18" customHeight="1" spans="1:15">
      <c r="A137" s="109">
        <v>43647</v>
      </c>
      <c r="B137" s="8">
        <f t="shared" si="14"/>
        <v>3300</v>
      </c>
      <c r="C137" s="110"/>
      <c r="D137" s="111" t="s">
        <v>53</v>
      </c>
      <c r="E137" s="114"/>
      <c r="F137" s="8">
        <f t="shared" si="15"/>
        <v>0</v>
      </c>
      <c r="G137" s="162">
        <v>3300</v>
      </c>
      <c r="H137" s="99"/>
      <c r="I137" s="166"/>
      <c r="J137" s="105"/>
      <c r="K137" s="129" t="s">
        <v>165</v>
      </c>
      <c r="L137" s="41" t="s">
        <v>166</v>
      </c>
      <c r="M137" s="105"/>
      <c r="N137" s="105"/>
      <c r="O137" s="106"/>
    </row>
    <row r="138" s="13" customFormat="1" ht="18" customHeight="1" spans="1:15">
      <c r="A138" s="109">
        <v>43647</v>
      </c>
      <c r="B138" s="8">
        <f t="shared" si="14"/>
        <v>850</v>
      </c>
      <c r="C138" s="110"/>
      <c r="D138" s="111" t="s">
        <v>53</v>
      </c>
      <c r="E138" s="114"/>
      <c r="F138" s="8">
        <f t="shared" si="15"/>
        <v>0</v>
      </c>
      <c r="G138" s="162">
        <v>850</v>
      </c>
      <c r="H138" s="99"/>
      <c r="I138" s="166"/>
      <c r="J138" s="105"/>
      <c r="K138" s="129" t="s">
        <v>167</v>
      </c>
      <c r="L138" s="41" t="s">
        <v>168</v>
      </c>
      <c r="M138" s="105"/>
      <c r="N138" s="105"/>
      <c r="O138" s="106"/>
    </row>
    <row r="139" s="13" customFormat="1" ht="18" customHeight="1" spans="1:15">
      <c r="A139" s="109">
        <v>43647</v>
      </c>
      <c r="B139" s="8">
        <f t="shared" si="14"/>
        <v>390</v>
      </c>
      <c r="C139" s="110"/>
      <c r="D139" s="111" t="s">
        <v>53</v>
      </c>
      <c r="E139" s="114"/>
      <c r="F139" s="8">
        <f t="shared" si="15"/>
        <v>0</v>
      </c>
      <c r="G139" s="162">
        <v>390</v>
      </c>
      <c r="H139" s="99"/>
      <c r="I139" s="166"/>
      <c r="J139" s="105"/>
      <c r="K139" s="129" t="s">
        <v>85</v>
      </c>
      <c r="L139" s="41" t="s">
        <v>169</v>
      </c>
      <c r="M139" s="105"/>
      <c r="N139" s="105"/>
      <c r="O139" s="106"/>
    </row>
    <row r="140" s="13" customFormat="1" ht="18" customHeight="1" spans="1:15">
      <c r="A140" s="109">
        <v>43647</v>
      </c>
      <c r="B140" s="8">
        <f t="shared" si="14"/>
        <v>243</v>
      </c>
      <c r="C140" s="110"/>
      <c r="D140" s="111" t="s">
        <v>53</v>
      </c>
      <c r="E140" s="114"/>
      <c r="F140" s="8">
        <f t="shared" si="15"/>
        <v>0</v>
      </c>
      <c r="G140" s="162">
        <v>243</v>
      </c>
      <c r="H140" s="99"/>
      <c r="I140" s="166"/>
      <c r="J140" s="105"/>
      <c r="K140" s="129" t="s">
        <v>170</v>
      </c>
      <c r="L140" s="41" t="s">
        <v>171</v>
      </c>
      <c r="M140" s="105"/>
      <c r="N140" s="105"/>
      <c r="O140" s="106"/>
    </row>
    <row r="141" s="13" customFormat="1" ht="18" customHeight="1" spans="1:15">
      <c r="A141" s="109">
        <v>43647</v>
      </c>
      <c r="B141" s="8">
        <f t="shared" si="14"/>
        <v>975</v>
      </c>
      <c r="C141" s="110"/>
      <c r="D141" s="111" t="s">
        <v>53</v>
      </c>
      <c r="E141" s="114"/>
      <c r="F141" s="8">
        <f t="shared" si="15"/>
        <v>0</v>
      </c>
      <c r="G141" s="162">
        <v>975</v>
      </c>
      <c r="H141" s="99"/>
      <c r="I141" s="166"/>
      <c r="J141" s="105"/>
      <c r="K141" s="129" t="s">
        <v>157</v>
      </c>
      <c r="L141" s="41" t="s">
        <v>158</v>
      </c>
      <c r="M141" s="105"/>
      <c r="N141" s="105"/>
      <c r="O141" s="106"/>
    </row>
    <row r="142" s="13" customFormat="1" ht="18" customHeight="1" spans="1:15">
      <c r="A142" s="109">
        <v>43647</v>
      </c>
      <c r="B142" s="8">
        <f t="shared" si="14"/>
        <v>3235</v>
      </c>
      <c r="C142" s="110"/>
      <c r="D142" s="111" t="s">
        <v>53</v>
      </c>
      <c r="E142" s="114"/>
      <c r="F142" s="8">
        <f t="shared" si="15"/>
        <v>0</v>
      </c>
      <c r="G142" s="162">
        <v>3235</v>
      </c>
      <c r="H142" s="99"/>
      <c r="I142" s="166"/>
      <c r="J142" s="105"/>
      <c r="K142" s="129" t="s">
        <v>70</v>
      </c>
      <c r="L142" s="41" t="s">
        <v>172</v>
      </c>
      <c r="M142" s="105"/>
      <c r="N142" s="105"/>
      <c r="O142" s="106"/>
    </row>
    <row r="143" s="13" customFormat="1" ht="18" customHeight="1" spans="1:15">
      <c r="A143" s="109">
        <v>43647</v>
      </c>
      <c r="B143" s="8">
        <f t="shared" si="14"/>
        <v>9991</v>
      </c>
      <c r="C143" s="110"/>
      <c r="D143" s="111" t="s">
        <v>53</v>
      </c>
      <c r="E143" s="114"/>
      <c r="F143" s="8">
        <f t="shared" si="15"/>
        <v>0</v>
      </c>
      <c r="G143" s="162">
        <v>9991</v>
      </c>
      <c r="H143" s="99"/>
      <c r="I143" s="166"/>
      <c r="J143" s="105"/>
      <c r="K143" s="129" t="s">
        <v>173</v>
      </c>
      <c r="L143" s="41" t="s">
        <v>174</v>
      </c>
      <c r="M143" s="57" t="s">
        <v>175</v>
      </c>
      <c r="N143" s="105"/>
      <c r="O143" s="106"/>
    </row>
    <row r="144" s="13" customFormat="1" ht="18" customHeight="1" spans="1:15">
      <c r="A144" s="109">
        <v>43647</v>
      </c>
      <c r="B144" s="8">
        <f t="shared" si="14"/>
        <v>3170</v>
      </c>
      <c r="C144" s="110"/>
      <c r="D144" s="111" t="s">
        <v>53</v>
      </c>
      <c r="E144" s="114"/>
      <c r="F144" s="8">
        <f t="shared" si="15"/>
        <v>0</v>
      </c>
      <c r="G144" s="162">
        <v>3170</v>
      </c>
      <c r="H144" s="99"/>
      <c r="I144" s="166"/>
      <c r="J144" s="105"/>
      <c r="K144" s="129" t="s">
        <v>176</v>
      </c>
      <c r="L144" s="41" t="s">
        <v>177</v>
      </c>
      <c r="M144" s="57"/>
      <c r="N144" s="105"/>
      <c r="O144" s="106"/>
    </row>
    <row r="145" s="13" customFormat="1" ht="18" customHeight="1" spans="1:15">
      <c r="A145" s="109">
        <v>43647</v>
      </c>
      <c r="B145" s="8">
        <f t="shared" si="14"/>
        <v>4360</v>
      </c>
      <c r="C145" s="110"/>
      <c r="D145" s="111" t="s">
        <v>53</v>
      </c>
      <c r="E145" s="114"/>
      <c r="F145" s="8">
        <f t="shared" si="15"/>
        <v>0</v>
      </c>
      <c r="G145" s="162">
        <v>4360</v>
      </c>
      <c r="H145" s="99"/>
      <c r="I145" s="166"/>
      <c r="J145" s="105"/>
      <c r="K145" s="129" t="s">
        <v>149</v>
      </c>
      <c r="L145" s="41" t="s">
        <v>151</v>
      </c>
      <c r="M145" s="57"/>
      <c r="N145" s="105"/>
      <c r="O145" s="106"/>
    </row>
    <row r="146" s="13" customFormat="1" ht="18" customHeight="1" spans="1:15">
      <c r="A146" s="109">
        <v>43647</v>
      </c>
      <c r="B146" s="8">
        <f t="shared" si="14"/>
        <v>8935</v>
      </c>
      <c r="C146" s="110"/>
      <c r="D146" s="111" t="s">
        <v>53</v>
      </c>
      <c r="E146" s="114"/>
      <c r="F146" s="8">
        <f t="shared" si="15"/>
        <v>0</v>
      </c>
      <c r="G146" s="162">
        <v>8935</v>
      </c>
      <c r="H146" s="99"/>
      <c r="I146" s="166"/>
      <c r="J146" s="105"/>
      <c r="K146" s="129" t="s">
        <v>149</v>
      </c>
      <c r="L146" s="41" t="s">
        <v>178</v>
      </c>
      <c r="M146" s="57"/>
      <c r="N146" s="105"/>
      <c r="O146" s="106"/>
    </row>
    <row r="147" s="13" customFormat="1" ht="18" customHeight="1" spans="1:15">
      <c r="A147" s="109">
        <v>43647</v>
      </c>
      <c r="B147" s="8">
        <f t="shared" si="14"/>
        <v>630</v>
      </c>
      <c r="C147" s="110"/>
      <c r="D147" s="111" t="s">
        <v>53</v>
      </c>
      <c r="E147" s="114"/>
      <c r="F147" s="8">
        <f t="shared" si="15"/>
        <v>0</v>
      </c>
      <c r="G147" s="162">
        <v>630</v>
      </c>
      <c r="H147" s="99"/>
      <c r="I147" s="166"/>
      <c r="J147" s="105"/>
      <c r="K147" s="129" t="s">
        <v>179</v>
      </c>
      <c r="L147" s="41" t="s">
        <v>180</v>
      </c>
      <c r="M147" s="57"/>
      <c r="N147" s="105"/>
      <c r="O147" s="106"/>
    </row>
    <row r="148" s="13" customFormat="1" ht="18" customHeight="1" spans="1:15">
      <c r="A148" s="109">
        <v>43647</v>
      </c>
      <c r="B148" s="8">
        <f t="shared" si="14"/>
        <v>2112</v>
      </c>
      <c r="C148" s="110"/>
      <c r="D148" s="111" t="s">
        <v>53</v>
      </c>
      <c r="E148" s="114"/>
      <c r="F148" s="8">
        <f t="shared" si="15"/>
        <v>0</v>
      </c>
      <c r="G148" s="162">
        <v>2112</v>
      </c>
      <c r="H148" s="99"/>
      <c r="I148" s="166"/>
      <c r="J148" s="105"/>
      <c r="K148" s="129" t="s">
        <v>181</v>
      </c>
      <c r="L148" s="41" t="s">
        <v>182</v>
      </c>
      <c r="M148" s="57"/>
      <c r="N148" s="105"/>
      <c r="O148" s="106"/>
    </row>
    <row r="149" s="13" customFormat="1" ht="18" customHeight="1" spans="1:15">
      <c r="A149" s="109">
        <v>43647</v>
      </c>
      <c r="B149" s="8">
        <f t="shared" si="14"/>
        <v>6350</v>
      </c>
      <c r="C149" s="110"/>
      <c r="D149" s="111" t="s">
        <v>53</v>
      </c>
      <c r="E149" s="114"/>
      <c r="F149" s="8">
        <f t="shared" si="15"/>
        <v>0</v>
      </c>
      <c r="G149" s="162">
        <v>6350</v>
      </c>
      <c r="H149" s="99"/>
      <c r="I149" s="166"/>
      <c r="J149" s="105"/>
      <c r="K149" s="129" t="s">
        <v>183</v>
      </c>
      <c r="L149" s="41" t="s">
        <v>184</v>
      </c>
      <c r="M149" s="57" t="s">
        <v>175</v>
      </c>
      <c r="N149" s="105"/>
      <c r="O149" s="106"/>
    </row>
    <row r="150" s="13" customFormat="1" ht="18" customHeight="1" spans="1:15">
      <c r="A150" s="109">
        <v>43647</v>
      </c>
      <c r="B150" s="8">
        <f t="shared" si="14"/>
        <v>9991</v>
      </c>
      <c r="C150" s="110"/>
      <c r="D150" s="111" t="s">
        <v>53</v>
      </c>
      <c r="E150" s="114"/>
      <c r="F150" s="8">
        <f t="shared" si="15"/>
        <v>0</v>
      </c>
      <c r="G150" s="162">
        <v>9991</v>
      </c>
      <c r="H150" s="99"/>
      <c r="I150" s="166"/>
      <c r="J150" s="105"/>
      <c r="K150" s="129" t="s">
        <v>132</v>
      </c>
      <c r="L150" s="41" t="s">
        <v>174</v>
      </c>
      <c r="M150" s="57" t="s">
        <v>175</v>
      </c>
      <c r="N150" s="105"/>
      <c r="O150" s="106"/>
    </row>
    <row r="151" s="13" customFormat="1" ht="18" customHeight="1" spans="1:15">
      <c r="A151" s="109">
        <v>43647</v>
      </c>
      <c r="B151" s="8">
        <f t="shared" si="14"/>
        <v>850</v>
      </c>
      <c r="C151" s="110"/>
      <c r="D151" s="111" t="s">
        <v>53</v>
      </c>
      <c r="E151" s="114"/>
      <c r="F151" s="8">
        <f t="shared" si="15"/>
        <v>0</v>
      </c>
      <c r="G151" s="162">
        <f>70+65+45+45+35+55+30+30+30+30+30+20+15+15+15+15+15+15+15+15+15+15+15+15+15+15+15+15+15+15+15+15+15+15+15+10+5+5</f>
        <v>850</v>
      </c>
      <c r="H151" s="99"/>
      <c r="I151" s="166"/>
      <c r="J151" s="105"/>
      <c r="K151" s="129" t="s">
        <v>185</v>
      </c>
      <c r="L151" s="41"/>
      <c r="M151" s="105"/>
      <c r="N151" s="105"/>
      <c r="O151" s="106"/>
    </row>
    <row r="152" s="13" customFormat="1" ht="18" customHeight="1" spans="1:15">
      <c r="A152" s="109">
        <v>43678</v>
      </c>
      <c r="B152" s="8">
        <f t="shared" si="14"/>
        <v>442477.88</v>
      </c>
      <c r="C152" s="110"/>
      <c r="D152" s="111" t="s">
        <v>37</v>
      </c>
      <c r="E152" s="112">
        <v>0.13</v>
      </c>
      <c r="F152" s="8">
        <f t="shared" si="15"/>
        <v>57522.12</v>
      </c>
      <c r="G152" s="162">
        <f>93950*2+91890+110105+110105</f>
        <v>500000</v>
      </c>
      <c r="H152" s="30">
        <v>43683</v>
      </c>
      <c r="I152" s="146">
        <v>500000</v>
      </c>
      <c r="J152" s="57" t="s">
        <v>134</v>
      </c>
      <c r="K152" s="129" t="s">
        <v>186</v>
      </c>
      <c r="L152" s="41" t="s">
        <v>187</v>
      </c>
      <c r="M152" s="105"/>
      <c r="N152" s="105"/>
      <c r="O152" s="106"/>
    </row>
    <row r="153" s="13" customFormat="1" ht="18" customHeight="1" spans="1:15">
      <c r="A153" s="109"/>
      <c r="B153" s="8">
        <f t="shared" si="14"/>
        <v>0</v>
      </c>
      <c r="C153" s="110"/>
      <c r="D153" s="111"/>
      <c r="E153" s="114"/>
      <c r="F153" s="8">
        <f t="shared" si="15"/>
        <v>0</v>
      </c>
      <c r="G153" s="162"/>
      <c r="H153" s="30">
        <v>43683</v>
      </c>
      <c r="I153" s="146">
        <v>1000000</v>
      </c>
      <c r="J153" s="57" t="s">
        <v>42</v>
      </c>
      <c r="K153" s="129" t="s">
        <v>43</v>
      </c>
      <c r="L153" s="41" t="s">
        <v>135</v>
      </c>
      <c r="M153" s="105"/>
      <c r="N153" s="105"/>
      <c r="O153" s="106"/>
    </row>
    <row r="154" s="13" customFormat="1" ht="18" customHeight="1" spans="1:15">
      <c r="A154" s="109">
        <v>43678</v>
      </c>
      <c r="B154" s="8">
        <f t="shared" si="14"/>
        <v>76127.43</v>
      </c>
      <c r="C154" s="110"/>
      <c r="D154" s="111" t="s">
        <v>37</v>
      </c>
      <c r="E154" s="112">
        <v>0.13</v>
      </c>
      <c r="F154" s="8">
        <f t="shared" si="15"/>
        <v>9896.57</v>
      </c>
      <c r="G154" s="162">
        <v>86024</v>
      </c>
      <c r="H154" s="30">
        <v>43683</v>
      </c>
      <c r="I154" s="146">
        <v>86024</v>
      </c>
      <c r="J154" s="57" t="s">
        <v>134</v>
      </c>
      <c r="K154" s="129" t="s">
        <v>108</v>
      </c>
      <c r="L154" s="41" t="s">
        <v>188</v>
      </c>
      <c r="M154" s="105"/>
      <c r="N154" s="105"/>
      <c r="O154" s="106"/>
    </row>
    <row r="155" s="13" customFormat="1" ht="18" customHeight="1" spans="1:15">
      <c r="A155" s="109">
        <v>43678</v>
      </c>
      <c r="B155" s="8">
        <f t="shared" si="14"/>
        <v>96991.15</v>
      </c>
      <c r="C155" s="110"/>
      <c r="D155" s="111" t="s">
        <v>37</v>
      </c>
      <c r="E155" s="112">
        <v>0.13</v>
      </c>
      <c r="F155" s="8">
        <f t="shared" si="15"/>
        <v>12608.85</v>
      </c>
      <c r="G155" s="162">
        <v>109600</v>
      </c>
      <c r="H155" s="30">
        <v>43683</v>
      </c>
      <c r="I155" s="146">
        <v>211500</v>
      </c>
      <c r="J155" s="57" t="s">
        <v>134</v>
      </c>
      <c r="K155" s="129" t="s">
        <v>46</v>
      </c>
      <c r="L155" s="41" t="s">
        <v>47</v>
      </c>
      <c r="M155" s="105"/>
      <c r="N155" s="105"/>
      <c r="O155" s="106"/>
    </row>
    <row r="156" s="13" customFormat="1" ht="18" customHeight="1" spans="1:15">
      <c r="A156" s="109"/>
      <c r="B156" s="8">
        <f t="shared" si="14"/>
        <v>0</v>
      </c>
      <c r="C156" s="110"/>
      <c r="D156" s="111"/>
      <c r="E156" s="114"/>
      <c r="F156" s="8">
        <f t="shared" si="15"/>
        <v>0</v>
      </c>
      <c r="G156" s="162"/>
      <c r="H156" s="30">
        <v>43691</v>
      </c>
      <c r="I156" s="146">
        <v>126893</v>
      </c>
      <c r="J156" s="57" t="s">
        <v>134</v>
      </c>
      <c r="K156" s="167" t="s">
        <v>51</v>
      </c>
      <c r="L156" s="167" t="s">
        <v>189</v>
      </c>
      <c r="M156" s="105"/>
      <c r="N156" s="105"/>
      <c r="O156" s="106"/>
    </row>
    <row r="157" s="13" customFormat="1" ht="18" customHeight="1" spans="1:15">
      <c r="A157" s="109"/>
      <c r="B157" s="8">
        <f t="shared" si="14"/>
        <v>0</v>
      </c>
      <c r="C157" s="110"/>
      <c r="D157" s="111"/>
      <c r="E157" s="114"/>
      <c r="F157" s="8">
        <f t="shared" si="15"/>
        <v>0</v>
      </c>
      <c r="G157" s="162"/>
      <c r="H157" s="30">
        <v>43691</v>
      </c>
      <c r="I157" s="146">
        <v>82946</v>
      </c>
      <c r="J157" s="57" t="s">
        <v>134</v>
      </c>
      <c r="K157" s="167" t="s">
        <v>137</v>
      </c>
      <c r="L157" s="167" t="s">
        <v>138</v>
      </c>
      <c r="M157" s="105"/>
      <c r="N157" s="105"/>
      <c r="O157" s="106"/>
    </row>
    <row r="158" s="13" customFormat="1" ht="18" customHeight="1" spans="1:15">
      <c r="A158" s="109"/>
      <c r="B158" s="8">
        <f t="shared" si="14"/>
        <v>0</v>
      </c>
      <c r="C158" s="110"/>
      <c r="D158" s="111"/>
      <c r="E158" s="114"/>
      <c r="F158" s="8">
        <f t="shared" si="15"/>
        <v>0</v>
      </c>
      <c r="G158" s="162"/>
      <c r="H158" s="30">
        <v>43700</v>
      </c>
      <c r="I158" s="146">
        <v>107200</v>
      </c>
      <c r="J158" s="57" t="s">
        <v>134</v>
      </c>
      <c r="K158" s="129" t="s">
        <v>46</v>
      </c>
      <c r="L158" s="41" t="s">
        <v>47</v>
      </c>
      <c r="M158" s="105"/>
      <c r="N158" s="105"/>
      <c r="O158" s="106"/>
    </row>
    <row r="159" s="13" customFormat="1" ht="18" customHeight="1" spans="1:15">
      <c r="A159" s="109">
        <v>43678</v>
      </c>
      <c r="B159" s="8">
        <f t="shared" si="14"/>
        <v>2212.39</v>
      </c>
      <c r="C159" s="110"/>
      <c r="D159" s="111" t="s">
        <v>37</v>
      </c>
      <c r="E159" s="112">
        <v>0.13</v>
      </c>
      <c r="F159" s="8">
        <f t="shared" si="15"/>
        <v>287.61</v>
      </c>
      <c r="G159" s="162">
        <v>2500</v>
      </c>
      <c r="H159" s="30"/>
      <c r="I159" s="146"/>
      <c r="J159" s="57"/>
      <c r="K159" s="129" t="s">
        <v>147</v>
      </c>
      <c r="L159" s="41" t="s">
        <v>47</v>
      </c>
      <c r="M159" s="105"/>
      <c r="N159" s="105"/>
      <c r="O159" s="106"/>
    </row>
    <row r="160" s="13" customFormat="1" ht="18" customHeight="1" spans="1:15">
      <c r="A160" s="109">
        <v>43678</v>
      </c>
      <c r="B160" s="8">
        <f t="shared" si="14"/>
        <v>800000</v>
      </c>
      <c r="C160" s="110"/>
      <c r="D160" s="111" t="s">
        <v>190</v>
      </c>
      <c r="E160" s="112"/>
      <c r="F160" s="8">
        <f t="shared" si="15"/>
        <v>0</v>
      </c>
      <c r="G160" s="162">
        <v>800000</v>
      </c>
      <c r="H160" s="30"/>
      <c r="I160" s="146"/>
      <c r="J160" s="57"/>
      <c r="K160" s="129" t="s">
        <v>162</v>
      </c>
      <c r="L160" s="41" t="s">
        <v>163</v>
      </c>
      <c r="M160" s="105"/>
      <c r="N160" s="105"/>
      <c r="O160" s="106"/>
    </row>
    <row r="161" s="13" customFormat="1" ht="18" customHeight="1" spans="1:15">
      <c r="A161" s="109">
        <v>43678</v>
      </c>
      <c r="B161" s="8">
        <f t="shared" si="14"/>
        <v>1930.5</v>
      </c>
      <c r="C161" s="110"/>
      <c r="D161" s="111" t="s">
        <v>53</v>
      </c>
      <c r="E161" s="112"/>
      <c r="F161" s="8">
        <f t="shared" si="15"/>
        <v>0</v>
      </c>
      <c r="G161" s="162">
        <v>1930.5</v>
      </c>
      <c r="H161" s="30"/>
      <c r="I161" s="146"/>
      <c r="J161" s="57"/>
      <c r="K161" s="129" t="s">
        <v>65</v>
      </c>
      <c r="L161" s="41" t="s">
        <v>191</v>
      </c>
      <c r="M161" s="105"/>
      <c r="N161" s="105"/>
      <c r="O161" s="106"/>
    </row>
    <row r="162" s="13" customFormat="1" ht="18" customHeight="1" spans="1:15">
      <c r="A162" s="109">
        <v>43678</v>
      </c>
      <c r="B162" s="8">
        <f t="shared" si="14"/>
        <v>1420</v>
      </c>
      <c r="C162" s="110"/>
      <c r="D162" s="111" t="s">
        <v>53</v>
      </c>
      <c r="E162" s="112"/>
      <c r="F162" s="8">
        <f t="shared" si="15"/>
        <v>0</v>
      </c>
      <c r="G162" s="162">
        <v>1420</v>
      </c>
      <c r="H162" s="30"/>
      <c r="I162" s="146"/>
      <c r="J162" s="57"/>
      <c r="K162" s="129" t="s">
        <v>65</v>
      </c>
      <c r="L162" s="41" t="s">
        <v>62</v>
      </c>
      <c r="M162" s="105"/>
      <c r="N162" s="105"/>
      <c r="O162" s="106"/>
    </row>
    <row r="163" s="13" customFormat="1" ht="18" customHeight="1" spans="1:15">
      <c r="A163" s="109">
        <v>43678</v>
      </c>
      <c r="B163" s="8">
        <f t="shared" si="14"/>
        <v>11260</v>
      </c>
      <c r="C163" s="110"/>
      <c r="D163" s="111" t="s">
        <v>53</v>
      </c>
      <c r="E163" s="112"/>
      <c r="F163" s="8">
        <f t="shared" si="15"/>
        <v>0</v>
      </c>
      <c r="G163" s="162">
        <v>11260</v>
      </c>
      <c r="H163" s="30"/>
      <c r="I163" s="146"/>
      <c r="J163" s="57"/>
      <c r="K163" s="129" t="s">
        <v>65</v>
      </c>
      <c r="L163" s="41" t="s">
        <v>192</v>
      </c>
      <c r="M163" s="105"/>
      <c r="N163" s="105"/>
      <c r="O163" s="106"/>
    </row>
    <row r="164" s="13" customFormat="1" ht="18" customHeight="1" spans="1:15">
      <c r="A164" s="109">
        <v>43678</v>
      </c>
      <c r="B164" s="8">
        <f t="shared" si="14"/>
        <v>4332.74</v>
      </c>
      <c r="C164" s="110"/>
      <c r="D164" s="111" t="s">
        <v>37</v>
      </c>
      <c r="E164" s="112">
        <v>0.13</v>
      </c>
      <c r="F164" s="8">
        <f t="shared" si="15"/>
        <v>563.26</v>
      </c>
      <c r="G164" s="162">
        <v>4896</v>
      </c>
      <c r="H164" s="30"/>
      <c r="I164" s="146"/>
      <c r="J164" s="57"/>
      <c r="K164" s="129" t="s">
        <v>193</v>
      </c>
      <c r="L164" s="41" t="s">
        <v>194</v>
      </c>
      <c r="M164" s="105"/>
      <c r="N164" s="105"/>
      <c r="O164" s="106"/>
    </row>
    <row r="165" s="13" customFormat="1" ht="18" customHeight="1" spans="1:15">
      <c r="A165" s="109">
        <v>43678</v>
      </c>
      <c r="B165" s="8">
        <f t="shared" si="14"/>
        <v>43786.19</v>
      </c>
      <c r="C165" s="110"/>
      <c r="D165" s="111" t="s">
        <v>37</v>
      </c>
      <c r="E165" s="112">
        <v>0.13</v>
      </c>
      <c r="F165" s="8">
        <f t="shared" si="15"/>
        <v>5692.21</v>
      </c>
      <c r="G165" s="162">
        <v>49478.4</v>
      </c>
      <c r="H165" s="30"/>
      <c r="I165" s="146"/>
      <c r="J165" s="57"/>
      <c r="K165" s="129" t="s">
        <v>139</v>
      </c>
      <c r="L165" s="41" t="s">
        <v>92</v>
      </c>
      <c r="M165" s="105"/>
      <c r="N165" s="105"/>
      <c r="O165" s="106"/>
    </row>
    <row r="166" s="13" customFormat="1" ht="18" customHeight="1" spans="1:15">
      <c r="A166" s="109">
        <v>43678</v>
      </c>
      <c r="B166" s="8">
        <f t="shared" si="14"/>
        <v>970.87</v>
      </c>
      <c r="C166" s="110"/>
      <c r="D166" s="111" t="s">
        <v>37</v>
      </c>
      <c r="E166" s="112">
        <v>0.03</v>
      </c>
      <c r="F166" s="8">
        <f t="shared" si="15"/>
        <v>29.13</v>
      </c>
      <c r="G166" s="162">
        <v>1000</v>
      </c>
      <c r="H166" s="30"/>
      <c r="I166" s="146"/>
      <c r="J166" s="57"/>
      <c r="K166" s="129" t="s">
        <v>118</v>
      </c>
      <c r="L166" s="41" t="s">
        <v>119</v>
      </c>
      <c r="M166" s="105"/>
      <c r="N166" s="105"/>
      <c r="O166" s="106"/>
    </row>
    <row r="167" s="13" customFormat="1" ht="18" customHeight="1" spans="1:15">
      <c r="A167" s="109">
        <v>43709</v>
      </c>
      <c r="B167" s="8">
        <f t="shared" si="14"/>
        <v>159000</v>
      </c>
      <c r="C167" s="110"/>
      <c r="D167" s="111" t="s">
        <v>37</v>
      </c>
      <c r="E167" s="112">
        <v>0.03</v>
      </c>
      <c r="F167" s="8">
        <f t="shared" si="15"/>
        <v>4770</v>
      </c>
      <c r="G167" s="162">
        <v>163770</v>
      </c>
      <c r="H167" s="30">
        <v>43704</v>
      </c>
      <c r="I167" s="168">
        <v>163770</v>
      </c>
      <c r="J167" s="57" t="s">
        <v>134</v>
      </c>
      <c r="K167" s="167" t="s">
        <v>110</v>
      </c>
      <c r="L167" s="167" t="s">
        <v>159</v>
      </c>
      <c r="M167" s="105"/>
      <c r="N167" s="105"/>
      <c r="O167" s="106"/>
    </row>
    <row r="168" s="13" customFormat="1" ht="18" customHeight="1" spans="1:15">
      <c r="A168" s="109">
        <v>43709</v>
      </c>
      <c r="B168" s="8">
        <f t="shared" si="14"/>
        <v>1165.05</v>
      </c>
      <c r="C168" s="110"/>
      <c r="D168" s="111" t="s">
        <v>37</v>
      </c>
      <c r="E168" s="112">
        <v>0.03</v>
      </c>
      <c r="F168" s="8">
        <f t="shared" si="15"/>
        <v>34.95</v>
      </c>
      <c r="G168" s="162">
        <v>1200</v>
      </c>
      <c r="H168" s="30"/>
      <c r="I168" s="168"/>
      <c r="J168" s="57"/>
      <c r="K168" s="169" t="s">
        <v>118</v>
      </c>
      <c r="L168" s="167" t="s">
        <v>119</v>
      </c>
      <c r="M168" s="105"/>
      <c r="N168" s="105"/>
      <c r="O168" s="106"/>
    </row>
    <row r="169" s="13" customFormat="1" ht="18" customHeight="1" spans="1:15">
      <c r="A169" s="109">
        <v>43709</v>
      </c>
      <c r="B169" s="8">
        <f t="shared" si="14"/>
        <v>3362.83</v>
      </c>
      <c r="C169" s="110"/>
      <c r="D169" s="111" t="s">
        <v>37</v>
      </c>
      <c r="E169" s="112">
        <v>0.13</v>
      </c>
      <c r="F169" s="8">
        <f t="shared" si="15"/>
        <v>437.17</v>
      </c>
      <c r="G169" s="162">
        <v>3800</v>
      </c>
      <c r="H169" s="30"/>
      <c r="I169" s="168"/>
      <c r="J169" s="57"/>
      <c r="K169" s="169" t="s">
        <v>195</v>
      </c>
      <c r="L169" s="167" t="s">
        <v>196</v>
      </c>
      <c r="M169" s="105"/>
      <c r="N169" s="105"/>
      <c r="O169" s="106"/>
    </row>
    <row r="170" s="13" customFormat="1" ht="18" customHeight="1" spans="1:15">
      <c r="A170" s="109">
        <v>43709</v>
      </c>
      <c r="B170" s="8">
        <f t="shared" si="14"/>
        <v>8665.49</v>
      </c>
      <c r="C170" s="110"/>
      <c r="D170" s="111" t="s">
        <v>37</v>
      </c>
      <c r="E170" s="112">
        <v>0.13</v>
      </c>
      <c r="F170" s="8">
        <f t="shared" si="15"/>
        <v>1126.51</v>
      </c>
      <c r="G170" s="162">
        <v>9792</v>
      </c>
      <c r="H170" s="30"/>
      <c r="I170" s="168"/>
      <c r="J170" s="57"/>
      <c r="K170" s="169" t="s">
        <v>193</v>
      </c>
      <c r="L170" s="167" t="s">
        <v>194</v>
      </c>
      <c r="M170" s="105"/>
      <c r="N170" s="105"/>
      <c r="O170" s="106"/>
    </row>
    <row r="171" s="13" customFormat="1" ht="18" customHeight="1" spans="1:15">
      <c r="A171" s="109">
        <v>43709</v>
      </c>
      <c r="B171" s="8">
        <f t="shared" si="14"/>
        <v>28843</v>
      </c>
      <c r="C171" s="110"/>
      <c r="D171" s="111"/>
      <c r="E171" s="112"/>
      <c r="F171" s="8">
        <f t="shared" si="15"/>
        <v>0</v>
      </c>
      <c r="G171" s="162">
        <v>28843</v>
      </c>
      <c r="H171" s="30"/>
      <c r="I171" s="168"/>
      <c r="J171" s="57"/>
      <c r="K171" s="169" t="s">
        <v>197</v>
      </c>
      <c r="L171" s="167" t="s">
        <v>198</v>
      </c>
      <c r="M171" s="105"/>
      <c r="N171" s="105"/>
      <c r="O171" s="106"/>
    </row>
    <row r="172" s="13" customFormat="1" ht="18" customHeight="1" spans="1:15">
      <c r="A172" s="109">
        <v>43709</v>
      </c>
      <c r="B172" s="8">
        <f t="shared" ref="B172:B201" si="16">ROUND(G172/(1+E172),2)</f>
        <v>4240</v>
      </c>
      <c r="C172" s="110"/>
      <c r="D172" s="111"/>
      <c r="E172" s="112"/>
      <c r="F172" s="8">
        <f t="shared" ref="F172:F201" si="17">ROUND(G172/(1+E172)*E172,2)</f>
        <v>0</v>
      </c>
      <c r="G172" s="162">
        <v>4240</v>
      </c>
      <c r="H172" s="30"/>
      <c r="I172" s="168"/>
      <c r="J172" s="57"/>
      <c r="K172" s="169" t="s">
        <v>65</v>
      </c>
      <c r="L172" s="167"/>
      <c r="M172" s="105"/>
      <c r="N172" s="105"/>
      <c r="O172" s="106"/>
    </row>
    <row r="173" s="13" customFormat="1" ht="18" customHeight="1" spans="1:15">
      <c r="A173" s="109">
        <v>43709</v>
      </c>
      <c r="B173" s="8">
        <f t="shared" si="16"/>
        <v>4035</v>
      </c>
      <c r="C173" s="110"/>
      <c r="D173" s="111"/>
      <c r="E173" s="112"/>
      <c r="F173" s="8">
        <f t="shared" si="17"/>
        <v>0</v>
      </c>
      <c r="G173" s="162">
        <v>4035</v>
      </c>
      <c r="H173" s="30"/>
      <c r="I173" s="168"/>
      <c r="J173" s="57"/>
      <c r="K173" s="169" t="s">
        <v>107</v>
      </c>
      <c r="L173" s="167"/>
      <c r="M173" s="105"/>
      <c r="N173" s="105"/>
      <c r="O173" s="106"/>
    </row>
    <row r="174" s="13" customFormat="1" ht="18" customHeight="1" spans="1:15">
      <c r="A174" s="109">
        <v>43709</v>
      </c>
      <c r="B174" s="8">
        <f t="shared" si="16"/>
        <v>905</v>
      </c>
      <c r="C174" s="110"/>
      <c r="D174" s="111"/>
      <c r="E174" s="114"/>
      <c r="F174" s="8">
        <f t="shared" si="17"/>
        <v>0</v>
      </c>
      <c r="G174" s="162">
        <v>905</v>
      </c>
      <c r="H174" s="30"/>
      <c r="I174" s="146"/>
      <c r="J174" s="57"/>
      <c r="K174" s="129" t="s">
        <v>106</v>
      </c>
      <c r="L174" s="41"/>
      <c r="M174" s="105"/>
      <c r="N174" s="105"/>
      <c r="O174" s="106"/>
    </row>
    <row r="175" s="13" customFormat="1" ht="18" customHeight="1" spans="1:15">
      <c r="A175" s="109"/>
      <c r="B175" s="8">
        <f t="shared" si="16"/>
        <v>0</v>
      </c>
      <c r="C175" s="110"/>
      <c r="D175" s="111"/>
      <c r="E175" s="114"/>
      <c r="F175" s="8">
        <f t="shared" si="17"/>
        <v>0</v>
      </c>
      <c r="G175" s="162"/>
      <c r="H175" s="99">
        <v>43728</v>
      </c>
      <c r="I175" s="166">
        <v>114880</v>
      </c>
      <c r="J175" s="105" t="s">
        <v>134</v>
      </c>
      <c r="K175" s="108" t="s">
        <v>199</v>
      </c>
      <c r="L175" s="106" t="s">
        <v>200</v>
      </c>
      <c r="M175" s="105"/>
      <c r="N175" s="105"/>
      <c r="O175" s="106"/>
    </row>
    <row r="176" s="13" customFormat="1" ht="18" customHeight="1" spans="1:15">
      <c r="A176" s="109"/>
      <c r="B176" s="8">
        <f t="shared" si="16"/>
        <v>0</v>
      </c>
      <c r="C176" s="110"/>
      <c r="D176" s="111"/>
      <c r="E176" s="114"/>
      <c r="F176" s="8">
        <f t="shared" si="17"/>
        <v>0</v>
      </c>
      <c r="G176" s="162"/>
      <c r="H176" s="30">
        <v>43728</v>
      </c>
      <c r="I176" s="146">
        <v>-114880</v>
      </c>
      <c r="J176" s="57" t="s">
        <v>42</v>
      </c>
      <c r="K176" s="129" t="s">
        <v>43</v>
      </c>
      <c r="L176" s="41"/>
      <c r="M176" s="105"/>
      <c r="N176" s="105"/>
      <c r="O176" s="106"/>
    </row>
    <row r="177" s="13" customFormat="1" ht="18" customHeight="1" spans="1:15">
      <c r="A177" s="109">
        <v>43709</v>
      </c>
      <c r="B177" s="8">
        <f t="shared" si="16"/>
        <v>94867.26</v>
      </c>
      <c r="C177" s="110"/>
      <c r="D177" s="111" t="s">
        <v>37</v>
      </c>
      <c r="E177" s="112">
        <v>0.13</v>
      </c>
      <c r="F177" s="8">
        <f t="shared" si="17"/>
        <v>12332.74</v>
      </c>
      <c r="G177" s="162">
        <f>80000+27200</f>
        <v>107200</v>
      </c>
      <c r="H177" s="30">
        <v>43732</v>
      </c>
      <c r="I177" s="146">
        <v>114880</v>
      </c>
      <c r="J177" s="57" t="s">
        <v>134</v>
      </c>
      <c r="K177" s="129" t="s">
        <v>46</v>
      </c>
      <c r="L177" s="41" t="s">
        <v>201</v>
      </c>
      <c r="M177" s="105"/>
      <c r="N177" s="105"/>
      <c r="O177" s="106"/>
    </row>
    <row r="178" s="13" customFormat="1" ht="18" customHeight="1" spans="1:15">
      <c r="A178" s="109"/>
      <c r="B178" s="8">
        <f t="shared" si="16"/>
        <v>0</v>
      </c>
      <c r="C178" s="110"/>
      <c r="D178" s="111"/>
      <c r="E178" s="114"/>
      <c r="F178" s="8">
        <f t="shared" si="17"/>
        <v>0</v>
      </c>
      <c r="G178" s="162"/>
      <c r="H178" s="30">
        <v>43732</v>
      </c>
      <c r="I178" s="146">
        <v>-114880</v>
      </c>
      <c r="J178" s="57" t="s">
        <v>42</v>
      </c>
      <c r="K178" s="129" t="s">
        <v>43</v>
      </c>
      <c r="L178" s="41"/>
      <c r="M178" s="105"/>
      <c r="N178" s="105"/>
      <c r="O178" s="106"/>
    </row>
    <row r="179" s="13" customFormat="1" ht="18" customHeight="1" spans="1:15">
      <c r="A179" s="109"/>
      <c r="B179" s="8">
        <f t="shared" si="16"/>
        <v>0</v>
      </c>
      <c r="C179" s="110"/>
      <c r="D179" s="111"/>
      <c r="E179" s="114"/>
      <c r="F179" s="8">
        <f t="shared" si="17"/>
        <v>0</v>
      </c>
      <c r="G179" s="162"/>
      <c r="H179" s="30">
        <v>43734</v>
      </c>
      <c r="I179" s="146">
        <v>74398</v>
      </c>
      <c r="J179" s="57" t="s">
        <v>134</v>
      </c>
      <c r="K179" s="129" t="s">
        <v>108</v>
      </c>
      <c r="L179" s="41" t="s">
        <v>188</v>
      </c>
      <c r="M179" s="105"/>
      <c r="N179" s="105"/>
      <c r="O179" s="106"/>
    </row>
    <row r="180" s="13" customFormat="1" ht="18" customHeight="1" spans="1:15">
      <c r="A180" s="109"/>
      <c r="B180" s="8">
        <f t="shared" si="16"/>
        <v>0</v>
      </c>
      <c r="C180" s="110"/>
      <c r="D180" s="111"/>
      <c r="E180" s="114"/>
      <c r="F180" s="8">
        <f t="shared" si="17"/>
        <v>0</v>
      </c>
      <c r="G180" s="162"/>
      <c r="H180" s="30">
        <v>43734</v>
      </c>
      <c r="I180" s="146">
        <v>-74398</v>
      </c>
      <c r="J180" s="57" t="s">
        <v>42</v>
      </c>
      <c r="K180" s="129" t="s">
        <v>43</v>
      </c>
      <c r="L180" s="41"/>
      <c r="M180" s="105"/>
      <c r="N180" s="105"/>
      <c r="O180" s="106"/>
    </row>
    <row r="181" s="13" customFormat="1" ht="18" customHeight="1" spans="1:15">
      <c r="A181" s="109">
        <v>43709</v>
      </c>
      <c r="B181" s="8">
        <f t="shared" si="16"/>
        <v>90293.98</v>
      </c>
      <c r="C181" s="110"/>
      <c r="D181" s="111" t="s">
        <v>37</v>
      </c>
      <c r="E181" s="112">
        <v>0.03</v>
      </c>
      <c r="F181" s="8">
        <f t="shared" si="17"/>
        <v>2708.82</v>
      </c>
      <c r="G181" s="162">
        <f>3100+40690.8+12820+36392</f>
        <v>93002.8</v>
      </c>
      <c r="H181" s="30"/>
      <c r="I181" s="146"/>
      <c r="J181" s="57"/>
      <c r="K181" s="129" t="s">
        <v>51</v>
      </c>
      <c r="L181" s="41" t="s">
        <v>189</v>
      </c>
      <c r="M181" s="105"/>
      <c r="N181" s="105"/>
      <c r="O181" s="106"/>
    </row>
    <row r="182" s="13" customFormat="1" ht="18" customHeight="1" spans="1:15">
      <c r="A182" s="109">
        <v>43709</v>
      </c>
      <c r="B182" s="8">
        <f t="shared" si="16"/>
        <v>4292.04</v>
      </c>
      <c r="C182" s="110"/>
      <c r="D182" s="111" t="s">
        <v>37</v>
      </c>
      <c r="E182" s="112">
        <v>0.13</v>
      </c>
      <c r="F182" s="8">
        <f t="shared" si="17"/>
        <v>557.96</v>
      </c>
      <c r="G182" s="162">
        <v>4850</v>
      </c>
      <c r="H182" s="30"/>
      <c r="I182" s="146"/>
      <c r="J182" s="57"/>
      <c r="K182" s="129" t="s">
        <v>202</v>
      </c>
      <c r="L182" s="41" t="s">
        <v>151</v>
      </c>
      <c r="M182" s="57" t="s">
        <v>175</v>
      </c>
      <c r="N182" s="105"/>
      <c r="O182" s="106"/>
    </row>
    <row r="183" s="13" customFormat="1" ht="18" customHeight="1" spans="1:15">
      <c r="A183" s="109">
        <v>43709</v>
      </c>
      <c r="B183" s="8">
        <f t="shared" si="16"/>
        <v>3150.44</v>
      </c>
      <c r="C183" s="110"/>
      <c r="D183" s="111" t="s">
        <v>37</v>
      </c>
      <c r="E183" s="112">
        <v>0.13</v>
      </c>
      <c r="F183" s="8">
        <f t="shared" si="17"/>
        <v>409.56</v>
      </c>
      <c r="G183" s="162">
        <v>3560</v>
      </c>
      <c r="H183" s="30"/>
      <c r="I183" s="146"/>
      <c r="J183" s="57"/>
      <c r="K183" s="129" t="s">
        <v>203</v>
      </c>
      <c r="L183" s="41" t="s">
        <v>204</v>
      </c>
      <c r="M183" s="57" t="s">
        <v>175</v>
      </c>
      <c r="N183" s="105"/>
      <c r="O183" s="106"/>
    </row>
    <row r="184" s="13" customFormat="1" ht="18" customHeight="1" spans="1:15">
      <c r="A184" s="109">
        <v>43709</v>
      </c>
      <c r="B184" s="8">
        <f t="shared" si="16"/>
        <v>27769.91</v>
      </c>
      <c r="C184" s="110"/>
      <c r="D184" s="111" t="s">
        <v>37</v>
      </c>
      <c r="E184" s="112">
        <v>0.13</v>
      </c>
      <c r="F184" s="8">
        <f t="shared" si="17"/>
        <v>3610.09</v>
      </c>
      <c r="G184" s="162">
        <v>31380</v>
      </c>
      <c r="H184" s="30"/>
      <c r="I184" s="146"/>
      <c r="J184" s="57"/>
      <c r="K184" s="129" t="s">
        <v>205</v>
      </c>
      <c r="L184" s="41" t="s">
        <v>206</v>
      </c>
      <c r="M184" s="57" t="s">
        <v>175</v>
      </c>
      <c r="N184" s="105"/>
      <c r="O184" s="106"/>
    </row>
    <row r="185" s="13" customFormat="1" ht="18" customHeight="1" spans="1:15">
      <c r="A185" s="109">
        <v>43709</v>
      </c>
      <c r="B185" s="8">
        <f t="shared" si="16"/>
        <v>22445.48</v>
      </c>
      <c r="C185" s="110"/>
      <c r="D185" s="111" t="s">
        <v>53</v>
      </c>
      <c r="E185" s="114"/>
      <c r="F185" s="8">
        <f t="shared" si="17"/>
        <v>0</v>
      </c>
      <c r="G185" s="162">
        <v>22445.48</v>
      </c>
      <c r="H185" s="30"/>
      <c r="I185" s="146"/>
      <c r="J185" s="57"/>
      <c r="K185" s="129" t="s">
        <v>65</v>
      </c>
      <c r="L185" s="41"/>
      <c r="M185" s="105"/>
      <c r="N185" s="105"/>
      <c r="O185" s="106"/>
    </row>
    <row r="186" s="13" customFormat="1" ht="18" customHeight="1" spans="1:15">
      <c r="A186" s="109">
        <v>43709</v>
      </c>
      <c r="B186" s="8">
        <f t="shared" si="16"/>
        <v>4683</v>
      </c>
      <c r="C186" s="110"/>
      <c r="D186" s="111" t="s">
        <v>53</v>
      </c>
      <c r="E186" s="114"/>
      <c r="F186" s="8">
        <f t="shared" si="17"/>
        <v>0</v>
      </c>
      <c r="G186" s="162">
        <v>4683</v>
      </c>
      <c r="H186" s="30"/>
      <c r="I186" s="146"/>
      <c r="J186" s="57"/>
      <c r="K186" s="129" t="s">
        <v>107</v>
      </c>
      <c r="L186" s="41"/>
      <c r="M186" s="105"/>
      <c r="N186" s="105"/>
      <c r="O186" s="106"/>
    </row>
    <row r="187" s="13" customFormat="1" ht="18" customHeight="1" spans="1:15">
      <c r="A187" s="109">
        <v>43709</v>
      </c>
      <c r="B187" s="8">
        <f t="shared" si="16"/>
        <v>6310</v>
      </c>
      <c r="C187" s="110"/>
      <c r="D187" s="111" t="s">
        <v>53</v>
      </c>
      <c r="E187" s="114"/>
      <c r="F187" s="8">
        <f t="shared" si="17"/>
        <v>0</v>
      </c>
      <c r="G187" s="162">
        <v>6310</v>
      </c>
      <c r="H187" s="30"/>
      <c r="I187" s="146"/>
      <c r="J187" s="57"/>
      <c r="K187" s="129" t="s">
        <v>65</v>
      </c>
      <c r="L187" s="41" t="s">
        <v>207</v>
      </c>
      <c r="M187" s="105"/>
      <c r="N187" s="105"/>
      <c r="O187" s="106"/>
    </row>
    <row r="188" s="13" customFormat="1" ht="18" customHeight="1" spans="1:15">
      <c r="A188" s="109">
        <v>43709</v>
      </c>
      <c r="B188" s="8">
        <f t="shared" si="16"/>
        <v>936.5</v>
      </c>
      <c r="C188" s="110"/>
      <c r="D188" s="111" t="s">
        <v>53</v>
      </c>
      <c r="E188" s="114"/>
      <c r="F188" s="8">
        <f t="shared" si="17"/>
        <v>0</v>
      </c>
      <c r="G188" s="162">
        <v>936.5</v>
      </c>
      <c r="H188" s="30"/>
      <c r="I188" s="146"/>
      <c r="J188" s="57"/>
      <c r="K188" s="129" t="s">
        <v>65</v>
      </c>
      <c r="L188" s="41" t="s">
        <v>208</v>
      </c>
      <c r="M188" s="105"/>
      <c r="N188" s="105"/>
      <c r="O188" s="106"/>
    </row>
    <row r="189" s="13" customFormat="1" ht="18" customHeight="1" spans="1:15">
      <c r="A189" s="109">
        <v>43709</v>
      </c>
      <c r="B189" s="8">
        <f t="shared" si="16"/>
        <v>1365</v>
      </c>
      <c r="C189" s="110"/>
      <c r="D189" s="111" t="s">
        <v>53</v>
      </c>
      <c r="E189" s="114"/>
      <c r="F189" s="8">
        <f t="shared" si="17"/>
        <v>0</v>
      </c>
      <c r="G189" s="162">
        <v>1365</v>
      </c>
      <c r="H189" s="30"/>
      <c r="I189" s="146"/>
      <c r="J189" s="57"/>
      <c r="K189" s="129" t="s">
        <v>106</v>
      </c>
      <c r="L189" s="41"/>
      <c r="M189" s="105"/>
      <c r="N189" s="105"/>
      <c r="O189" s="106"/>
    </row>
    <row r="190" s="13" customFormat="1" ht="18" customHeight="1" spans="1:15">
      <c r="A190" s="109"/>
      <c r="B190" s="8">
        <f t="shared" si="16"/>
        <v>0</v>
      </c>
      <c r="C190" s="110"/>
      <c r="D190" s="111"/>
      <c r="E190" s="114"/>
      <c r="F190" s="8">
        <f t="shared" si="17"/>
        <v>0</v>
      </c>
      <c r="G190" s="162"/>
      <c r="H190" s="30">
        <v>43746</v>
      </c>
      <c r="I190" s="146">
        <v>112000</v>
      </c>
      <c r="J190" s="57" t="s">
        <v>134</v>
      </c>
      <c r="K190" s="129" t="s">
        <v>46</v>
      </c>
      <c r="L190" s="41"/>
      <c r="M190" s="105"/>
      <c r="N190" s="105"/>
      <c r="O190" s="106"/>
    </row>
    <row r="191" s="13" customFormat="1" ht="18" customHeight="1" spans="1:15">
      <c r="A191" s="109"/>
      <c r="B191" s="8">
        <f t="shared" si="16"/>
        <v>0</v>
      </c>
      <c r="C191" s="110"/>
      <c r="D191" s="111"/>
      <c r="E191" s="114"/>
      <c r="F191" s="8">
        <f t="shared" si="17"/>
        <v>0</v>
      </c>
      <c r="G191" s="162"/>
      <c r="H191" s="30">
        <v>43746</v>
      </c>
      <c r="I191" s="146">
        <v>-112000</v>
      </c>
      <c r="J191" s="57" t="s">
        <v>42</v>
      </c>
      <c r="K191" s="129" t="s">
        <v>43</v>
      </c>
      <c r="L191" s="41"/>
      <c r="M191" s="105"/>
      <c r="N191" s="105"/>
      <c r="O191" s="106"/>
    </row>
    <row r="192" s="13" customFormat="1" ht="18" customHeight="1" spans="1:15">
      <c r="A192" s="109">
        <v>43739</v>
      </c>
      <c r="B192" s="8">
        <f t="shared" si="16"/>
        <v>386990.29</v>
      </c>
      <c r="C192" s="110"/>
      <c r="D192" s="111" t="s">
        <v>37</v>
      </c>
      <c r="E192" s="112">
        <v>0.03</v>
      </c>
      <c r="F192" s="8">
        <f t="shared" si="17"/>
        <v>11609.71</v>
      </c>
      <c r="G192" s="162">
        <v>398600</v>
      </c>
      <c r="H192" s="30"/>
      <c r="I192" s="146"/>
      <c r="J192" s="57"/>
      <c r="K192" s="129" t="s">
        <v>209</v>
      </c>
      <c r="L192" s="41" t="s">
        <v>210</v>
      </c>
      <c r="M192" s="105"/>
      <c r="N192" s="105"/>
      <c r="O192" s="106"/>
    </row>
    <row r="193" s="13" customFormat="1" ht="18" customHeight="1" spans="1:15">
      <c r="A193" s="109">
        <v>43739</v>
      </c>
      <c r="B193" s="8">
        <f t="shared" si="16"/>
        <v>570970.87</v>
      </c>
      <c r="C193" s="110"/>
      <c r="D193" s="111" t="s">
        <v>37</v>
      </c>
      <c r="E193" s="112">
        <v>0.03</v>
      </c>
      <c r="F193" s="8">
        <f t="shared" si="17"/>
        <v>17129.13</v>
      </c>
      <c r="G193" s="162">
        <v>588100</v>
      </c>
      <c r="H193" s="30"/>
      <c r="I193" s="146"/>
      <c r="J193" s="57"/>
      <c r="K193" s="129" t="s">
        <v>160</v>
      </c>
      <c r="L193" s="41" t="s">
        <v>211</v>
      </c>
      <c r="M193" s="105"/>
      <c r="N193" s="105"/>
      <c r="O193" s="106"/>
    </row>
    <row r="194" s="13" customFormat="1" ht="18" customHeight="1" spans="1:15">
      <c r="A194" s="109">
        <v>43739</v>
      </c>
      <c r="B194" s="8">
        <f t="shared" si="16"/>
        <v>34973.45</v>
      </c>
      <c r="C194" s="110"/>
      <c r="D194" s="111" t="s">
        <v>37</v>
      </c>
      <c r="E194" s="112">
        <v>0.13</v>
      </c>
      <c r="F194" s="8">
        <f t="shared" si="17"/>
        <v>4546.55</v>
      </c>
      <c r="G194" s="162">
        <v>39520</v>
      </c>
      <c r="H194" s="30"/>
      <c r="I194" s="146"/>
      <c r="J194" s="57"/>
      <c r="K194" s="129" t="s">
        <v>212</v>
      </c>
      <c r="L194" s="41" t="s">
        <v>213</v>
      </c>
      <c r="M194" s="105"/>
      <c r="N194" s="105"/>
      <c r="O194" s="106"/>
    </row>
    <row r="195" s="13" customFormat="1" ht="18" customHeight="1" spans="1:15">
      <c r="A195" s="109">
        <v>43739</v>
      </c>
      <c r="B195" s="8">
        <f t="shared" si="16"/>
        <v>66105</v>
      </c>
      <c r="C195" s="110"/>
      <c r="D195" s="111"/>
      <c r="E195" s="112"/>
      <c r="F195" s="8">
        <f t="shared" si="17"/>
        <v>0</v>
      </c>
      <c r="G195" s="162">
        <v>66105</v>
      </c>
      <c r="H195" s="30"/>
      <c r="I195" s="146"/>
      <c r="J195" s="57"/>
      <c r="K195" s="129" t="s">
        <v>65</v>
      </c>
      <c r="L195" s="41" t="s">
        <v>214</v>
      </c>
      <c r="M195" s="105"/>
      <c r="N195" s="105"/>
      <c r="O195" s="106"/>
    </row>
    <row r="196" s="13" customFormat="1" ht="18" customHeight="1" spans="1:15">
      <c r="A196" s="109">
        <v>43739</v>
      </c>
      <c r="B196" s="8">
        <f t="shared" si="16"/>
        <v>490</v>
      </c>
      <c r="C196" s="110"/>
      <c r="D196" s="111"/>
      <c r="E196" s="112"/>
      <c r="F196" s="8">
        <f t="shared" si="17"/>
        <v>0</v>
      </c>
      <c r="G196" s="162">
        <v>490</v>
      </c>
      <c r="H196" s="30"/>
      <c r="I196" s="146"/>
      <c r="J196" s="57"/>
      <c r="K196" s="129" t="s">
        <v>106</v>
      </c>
      <c r="L196" s="41"/>
      <c r="M196" s="105"/>
      <c r="N196" s="105"/>
      <c r="O196" s="106"/>
    </row>
    <row r="197" s="13" customFormat="1" ht="18" customHeight="1" spans="1:15">
      <c r="A197" s="109">
        <v>43739</v>
      </c>
      <c r="B197" s="8">
        <f t="shared" si="16"/>
        <v>65838.99</v>
      </c>
      <c r="C197" s="110"/>
      <c r="D197" s="111" t="s">
        <v>37</v>
      </c>
      <c r="E197" s="112">
        <v>0.13</v>
      </c>
      <c r="F197" s="8">
        <f t="shared" si="17"/>
        <v>8559.07</v>
      </c>
      <c r="G197" s="162">
        <v>74398.06</v>
      </c>
      <c r="H197" s="30"/>
      <c r="I197" s="146"/>
      <c r="J197" s="57"/>
      <c r="K197" s="129" t="s">
        <v>108</v>
      </c>
      <c r="L197" s="41" t="s">
        <v>215</v>
      </c>
      <c r="M197" s="105"/>
      <c r="N197" s="105"/>
      <c r="O197" s="106" t="s">
        <v>216</v>
      </c>
    </row>
    <row r="198" s="13" customFormat="1" ht="18" customHeight="1" spans="1:15">
      <c r="A198" s="109">
        <v>43739</v>
      </c>
      <c r="B198" s="8">
        <f t="shared" si="16"/>
        <v>30893.45</v>
      </c>
      <c r="C198" s="110"/>
      <c r="D198" s="111" t="s">
        <v>37</v>
      </c>
      <c r="E198" s="112">
        <v>0.13</v>
      </c>
      <c r="F198" s="8">
        <f t="shared" si="17"/>
        <v>4016.15</v>
      </c>
      <c r="G198" s="162">
        <v>34909.6</v>
      </c>
      <c r="H198" s="30"/>
      <c r="I198" s="146"/>
      <c r="J198" s="57"/>
      <c r="K198" s="129" t="s">
        <v>137</v>
      </c>
      <c r="L198" s="41" t="s">
        <v>138</v>
      </c>
      <c r="M198" s="105"/>
      <c r="N198" s="105"/>
      <c r="O198" s="106" t="s">
        <v>216</v>
      </c>
    </row>
    <row r="199" s="13" customFormat="1" ht="18" customHeight="1" spans="1:15">
      <c r="A199" s="109">
        <v>43770</v>
      </c>
      <c r="B199" s="8">
        <f t="shared" si="16"/>
        <v>10695.15</v>
      </c>
      <c r="C199" s="110"/>
      <c r="D199" s="111" t="s">
        <v>37</v>
      </c>
      <c r="E199" s="112">
        <v>0.03</v>
      </c>
      <c r="F199" s="8">
        <f t="shared" si="17"/>
        <v>320.85</v>
      </c>
      <c r="G199" s="162">
        <v>11016</v>
      </c>
      <c r="H199" s="30"/>
      <c r="I199" s="146"/>
      <c r="J199" s="57"/>
      <c r="K199" s="129" t="s">
        <v>217</v>
      </c>
      <c r="L199" s="41" t="s">
        <v>55</v>
      </c>
      <c r="M199" s="105"/>
      <c r="N199" s="105"/>
      <c r="O199" s="106"/>
    </row>
    <row r="200" s="13" customFormat="1" ht="18" customHeight="1" spans="1:15">
      <c r="A200" s="109">
        <v>43770</v>
      </c>
      <c r="B200" s="8">
        <f t="shared" si="16"/>
        <v>581165.05</v>
      </c>
      <c r="C200" s="110"/>
      <c r="D200" s="111" t="s">
        <v>37</v>
      </c>
      <c r="E200" s="112">
        <v>0.03</v>
      </c>
      <c r="F200" s="8">
        <f t="shared" si="17"/>
        <v>17434.95</v>
      </c>
      <c r="G200" s="162">
        <v>598600</v>
      </c>
      <c r="H200" s="30"/>
      <c r="I200" s="146"/>
      <c r="J200" s="57"/>
      <c r="K200" s="129" t="s">
        <v>209</v>
      </c>
      <c r="L200" s="41" t="s">
        <v>218</v>
      </c>
      <c r="M200" s="105"/>
      <c r="N200" s="105"/>
      <c r="O200" s="106"/>
    </row>
    <row r="201" s="13" customFormat="1" ht="18" customHeight="1" spans="1:15">
      <c r="A201" s="109">
        <v>43770</v>
      </c>
      <c r="B201" s="8">
        <f t="shared" si="16"/>
        <v>200778.76</v>
      </c>
      <c r="C201" s="110"/>
      <c r="D201" s="111" t="s">
        <v>37</v>
      </c>
      <c r="E201" s="112">
        <v>0.13</v>
      </c>
      <c r="F201" s="8">
        <f t="shared" si="17"/>
        <v>26101.24</v>
      </c>
      <c r="G201" s="162">
        <v>226880</v>
      </c>
      <c r="H201" s="30">
        <v>43770</v>
      </c>
      <c r="I201" s="146">
        <v>201000</v>
      </c>
      <c r="J201" s="57" t="s">
        <v>22</v>
      </c>
      <c r="K201" s="129" t="s">
        <v>46</v>
      </c>
      <c r="L201" s="41" t="s">
        <v>219</v>
      </c>
      <c r="M201" s="105"/>
      <c r="N201" s="105"/>
      <c r="O201" s="106"/>
    </row>
    <row r="202" s="13" customFormat="1" ht="18" customHeight="1" spans="1:15">
      <c r="A202" s="109"/>
      <c r="B202" s="8"/>
      <c r="C202" s="110"/>
      <c r="D202" s="111"/>
      <c r="E202" s="112"/>
      <c r="F202" s="8"/>
      <c r="G202" s="162"/>
      <c r="H202" s="30">
        <v>43770</v>
      </c>
      <c r="I202" s="146">
        <v>-201000</v>
      </c>
      <c r="J202" s="57" t="s">
        <v>42</v>
      </c>
      <c r="K202" s="129" t="s">
        <v>43</v>
      </c>
      <c r="L202" s="41"/>
      <c r="M202" s="105"/>
      <c r="N202" s="105"/>
      <c r="O202" s="106"/>
    </row>
    <row r="203" s="13" customFormat="1" ht="18" customHeight="1" spans="1:15">
      <c r="A203" s="109">
        <v>43770</v>
      </c>
      <c r="B203" s="8">
        <f t="shared" ref="B203:B264" si="18">ROUND(G203/(1+E203),2)</f>
        <v>18979.2</v>
      </c>
      <c r="C203" s="110"/>
      <c r="D203" s="111" t="s">
        <v>37</v>
      </c>
      <c r="E203" s="112">
        <v>0.13</v>
      </c>
      <c r="F203" s="8">
        <f t="shared" ref="F203:F264" si="19">ROUND(G203/(1+E203)*E203,2)</f>
        <v>2467.3</v>
      </c>
      <c r="G203" s="162">
        <v>21446.5</v>
      </c>
      <c r="H203" s="30"/>
      <c r="I203" s="146"/>
      <c r="J203" s="57"/>
      <c r="K203" s="129" t="s">
        <v>220</v>
      </c>
      <c r="L203" s="41" t="s">
        <v>221</v>
      </c>
      <c r="M203" s="105"/>
      <c r="N203" s="105"/>
      <c r="O203" s="106"/>
    </row>
    <row r="204" s="13" customFormat="1" ht="18" customHeight="1" spans="1:15">
      <c r="A204" s="109">
        <v>43770</v>
      </c>
      <c r="B204" s="8">
        <f t="shared" si="18"/>
        <v>5239</v>
      </c>
      <c r="C204" s="110"/>
      <c r="D204" s="111" t="s">
        <v>53</v>
      </c>
      <c r="E204" s="114"/>
      <c r="F204" s="8">
        <f t="shared" si="19"/>
        <v>0</v>
      </c>
      <c r="G204" s="162">
        <v>5239</v>
      </c>
      <c r="H204" s="30"/>
      <c r="I204" s="146"/>
      <c r="J204" s="57"/>
      <c r="K204" s="129" t="s">
        <v>107</v>
      </c>
      <c r="L204" s="41"/>
      <c r="M204" s="105"/>
      <c r="N204" s="105"/>
      <c r="O204" s="106"/>
    </row>
    <row r="205" s="13" customFormat="1" ht="18" customHeight="1" spans="1:15">
      <c r="A205" s="109">
        <v>43800</v>
      </c>
      <c r="B205" s="8">
        <f t="shared" si="18"/>
        <v>442575.22</v>
      </c>
      <c r="C205" s="110"/>
      <c r="D205" s="111" t="s">
        <v>37</v>
      </c>
      <c r="E205" s="112">
        <v>0.13</v>
      </c>
      <c r="F205" s="8">
        <f t="shared" si="19"/>
        <v>57534.78</v>
      </c>
      <c r="G205" s="162">
        <f>98560+98560+98560+98560+105870</f>
        <v>500110</v>
      </c>
      <c r="H205" s="30">
        <v>43783</v>
      </c>
      <c r="I205" s="146">
        <v>500000</v>
      </c>
      <c r="J205" s="57" t="s">
        <v>22</v>
      </c>
      <c r="K205" s="129" t="s">
        <v>186</v>
      </c>
      <c r="L205" s="41" t="s">
        <v>222</v>
      </c>
      <c r="M205" s="57" t="s">
        <v>223</v>
      </c>
      <c r="N205" s="57" t="s">
        <v>223</v>
      </c>
      <c r="O205" s="106"/>
    </row>
    <row r="206" s="13" customFormat="1" ht="18" customHeight="1" spans="1:15">
      <c r="A206" s="109"/>
      <c r="B206" s="8">
        <f t="shared" si="18"/>
        <v>0</v>
      </c>
      <c r="C206" s="110"/>
      <c r="D206" s="111"/>
      <c r="E206" s="114"/>
      <c r="F206" s="8">
        <f t="shared" si="19"/>
        <v>0</v>
      </c>
      <c r="G206" s="162"/>
      <c r="H206" s="30">
        <v>43784</v>
      </c>
      <c r="I206" s="146">
        <v>34909.6</v>
      </c>
      <c r="J206" s="57" t="s">
        <v>22</v>
      </c>
      <c r="K206" s="129" t="s">
        <v>137</v>
      </c>
      <c r="L206" s="41" t="s">
        <v>189</v>
      </c>
      <c r="M206" s="105"/>
      <c r="N206" s="105"/>
      <c r="O206" s="106"/>
    </row>
    <row r="207" s="13" customFormat="1" ht="18" customHeight="1" spans="1:15">
      <c r="A207" s="109"/>
      <c r="B207" s="8">
        <f t="shared" si="18"/>
        <v>0</v>
      </c>
      <c r="C207" s="110"/>
      <c r="D207" s="111"/>
      <c r="E207" s="114"/>
      <c r="F207" s="8">
        <f t="shared" si="19"/>
        <v>0</v>
      </c>
      <c r="G207" s="162"/>
      <c r="H207" s="30">
        <v>43784</v>
      </c>
      <c r="I207" s="146">
        <v>107200</v>
      </c>
      <c r="J207" s="57" t="s">
        <v>22</v>
      </c>
      <c r="K207" s="129" t="s">
        <v>46</v>
      </c>
      <c r="L207" s="41" t="s">
        <v>47</v>
      </c>
      <c r="M207" s="105"/>
      <c r="N207" s="105"/>
      <c r="O207" s="106"/>
    </row>
    <row r="208" s="13" customFormat="1" ht="18" customHeight="1" spans="1:15">
      <c r="A208" s="109">
        <v>43800</v>
      </c>
      <c r="B208" s="8">
        <f t="shared" si="18"/>
        <v>87992.43</v>
      </c>
      <c r="C208" s="110"/>
      <c r="D208" s="111" t="s">
        <v>37</v>
      </c>
      <c r="E208" s="112">
        <v>0.03</v>
      </c>
      <c r="F208" s="8">
        <f t="shared" si="19"/>
        <v>2639.77</v>
      </c>
      <c r="G208" s="162">
        <f>87632.2+3000</f>
        <v>90632.2</v>
      </c>
      <c r="H208" s="30">
        <v>43784</v>
      </c>
      <c r="I208" s="146">
        <v>15316</v>
      </c>
      <c r="J208" s="57" t="s">
        <v>22</v>
      </c>
      <c r="K208" s="129" t="s">
        <v>51</v>
      </c>
      <c r="L208" s="41" t="s">
        <v>189</v>
      </c>
      <c r="M208" s="57" t="s">
        <v>223</v>
      </c>
      <c r="N208" s="105"/>
      <c r="O208" s="106"/>
    </row>
    <row r="209" s="13" customFormat="1" ht="18" customHeight="1" spans="1:15">
      <c r="A209" s="109">
        <v>43800</v>
      </c>
      <c r="B209" s="8">
        <f t="shared" si="18"/>
        <v>94255.85</v>
      </c>
      <c r="C209" s="110"/>
      <c r="D209" s="111" t="s">
        <v>53</v>
      </c>
      <c r="E209" s="114"/>
      <c r="F209" s="8">
        <f t="shared" si="19"/>
        <v>0</v>
      </c>
      <c r="G209" s="162">
        <v>94255.85</v>
      </c>
      <c r="H209" s="30">
        <v>43789</v>
      </c>
      <c r="I209" s="146">
        <v>176422.5</v>
      </c>
      <c r="J209" s="57" t="s">
        <v>42</v>
      </c>
      <c r="K209" s="129" t="s">
        <v>43</v>
      </c>
      <c r="L209" s="41" t="s">
        <v>65</v>
      </c>
      <c r="M209" s="105"/>
      <c r="N209" s="105"/>
      <c r="O209" s="106"/>
    </row>
    <row r="210" s="13" customFormat="1" ht="18" customHeight="1" spans="1:15">
      <c r="A210" s="109"/>
      <c r="B210" s="8">
        <f t="shared" si="18"/>
        <v>0</v>
      </c>
      <c r="C210" s="110"/>
      <c r="D210" s="111"/>
      <c r="E210" s="114"/>
      <c r="F210" s="8">
        <f t="shared" si="19"/>
        <v>0</v>
      </c>
      <c r="G210" s="162"/>
      <c r="H210" s="99">
        <v>43796</v>
      </c>
      <c r="I210" s="166">
        <v>-114880</v>
      </c>
      <c r="J210" s="105" t="s">
        <v>22</v>
      </c>
      <c r="K210" s="108" t="s">
        <v>199</v>
      </c>
      <c r="L210" s="106" t="s">
        <v>200</v>
      </c>
      <c r="M210" s="105" t="s">
        <v>224</v>
      </c>
      <c r="N210" s="105"/>
      <c r="O210" s="106"/>
    </row>
    <row r="211" s="13" customFormat="1" ht="18" customHeight="1" spans="1:15">
      <c r="A211" s="109"/>
      <c r="B211" s="8">
        <f t="shared" si="18"/>
        <v>0</v>
      </c>
      <c r="C211" s="110"/>
      <c r="D211" s="111"/>
      <c r="E211" s="114"/>
      <c r="F211" s="8">
        <f t="shared" si="19"/>
        <v>0</v>
      </c>
      <c r="G211" s="162"/>
      <c r="H211" s="30">
        <v>43798</v>
      </c>
      <c r="I211" s="146">
        <v>114880</v>
      </c>
      <c r="J211" s="57" t="s">
        <v>22</v>
      </c>
      <c r="K211" s="129" t="s">
        <v>46</v>
      </c>
      <c r="L211" s="41" t="s">
        <v>47</v>
      </c>
      <c r="M211" s="105"/>
      <c r="N211" s="105"/>
      <c r="O211" s="106"/>
    </row>
    <row r="212" s="13" customFormat="1" ht="18" customHeight="1" spans="1:15">
      <c r="A212" s="109">
        <v>43800</v>
      </c>
      <c r="B212" s="8">
        <f t="shared" si="18"/>
        <v>961165.05</v>
      </c>
      <c r="C212" s="110"/>
      <c r="D212" s="111" t="s">
        <v>37</v>
      </c>
      <c r="E212" s="112">
        <v>0.03</v>
      </c>
      <c r="F212" s="8">
        <f t="shared" si="19"/>
        <v>28834.95</v>
      </c>
      <c r="G212" s="162">
        <f>90000+100000*9</f>
        <v>990000</v>
      </c>
      <c r="H212" s="30">
        <v>43810</v>
      </c>
      <c r="I212" s="146">
        <v>600000</v>
      </c>
      <c r="J212" s="57" t="s">
        <v>22</v>
      </c>
      <c r="K212" s="129" t="s">
        <v>209</v>
      </c>
      <c r="L212" s="41" t="s">
        <v>225</v>
      </c>
      <c r="M212" s="57" t="s">
        <v>223</v>
      </c>
      <c r="N212" s="57" t="s">
        <v>223</v>
      </c>
      <c r="O212" s="106"/>
    </row>
    <row r="213" s="13" customFormat="1" ht="18" customHeight="1" spans="1:15">
      <c r="A213" s="109">
        <v>43800</v>
      </c>
      <c r="B213" s="8">
        <f t="shared" si="18"/>
        <v>388349.51</v>
      </c>
      <c r="C213" s="110"/>
      <c r="D213" s="111" t="s">
        <v>37</v>
      </c>
      <c r="E213" s="112">
        <v>0.03</v>
      </c>
      <c r="F213" s="8">
        <f t="shared" si="19"/>
        <v>11650.49</v>
      </c>
      <c r="G213" s="162">
        <f>100000*4</f>
        <v>400000</v>
      </c>
      <c r="H213" s="30">
        <v>43810</v>
      </c>
      <c r="I213" s="146">
        <v>400000</v>
      </c>
      <c r="J213" s="57" t="s">
        <v>22</v>
      </c>
      <c r="K213" s="129" t="s">
        <v>160</v>
      </c>
      <c r="L213" s="41" t="s">
        <v>226</v>
      </c>
      <c r="M213" s="57" t="s">
        <v>223</v>
      </c>
      <c r="N213" s="57" t="s">
        <v>223</v>
      </c>
      <c r="O213" s="106"/>
    </row>
    <row r="214" s="13" customFormat="1" ht="18" customHeight="1" spans="1:15">
      <c r="A214" s="109">
        <v>43800</v>
      </c>
      <c r="B214" s="8">
        <f t="shared" si="18"/>
        <v>85164.6</v>
      </c>
      <c r="C214" s="110"/>
      <c r="D214" s="111" t="s">
        <v>37</v>
      </c>
      <c r="E214" s="112">
        <v>0.13</v>
      </c>
      <c r="F214" s="8">
        <f t="shared" si="19"/>
        <v>11071.4</v>
      </c>
      <c r="G214" s="162">
        <v>96236</v>
      </c>
      <c r="H214" s="30">
        <v>43816</v>
      </c>
      <c r="I214" s="146">
        <v>96236</v>
      </c>
      <c r="J214" s="57" t="s">
        <v>22</v>
      </c>
      <c r="K214" s="129" t="s">
        <v>108</v>
      </c>
      <c r="L214" s="41" t="s">
        <v>227</v>
      </c>
      <c r="M214" s="57" t="s">
        <v>223</v>
      </c>
      <c r="N214" s="57" t="s">
        <v>223</v>
      </c>
      <c r="O214" s="106"/>
    </row>
    <row r="215" s="13" customFormat="1" ht="18" customHeight="1" spans="1:15">
      <c r="A215" s="109">
        <v>43800</v>
      </c>
      <c r="B215" s="8">
        <f t="shared" si="18"/>
        <v>472106.19</v>
      </c>
      <c r="C215" s="110"/>
      <c r="D215" s="111" t="s">
        <v>37</v>
      </c>
      <c r="E215" s="112">
        <v>0.13</v>
      </c>
      <c r="F215" s="8">
        <f t="shared" si="19"/>
        <v>61373.81</v>
      </c>
      <c r="G215" s="162">
        <f>80000+30400+14880+100000+107200+100000+101000</f>
        <v>533480</v>
      </c>
      <c r="H215" s="30">
        <v>43816</v>
      </c>
      <c r="I215" s="146">
        <v>110400</v>
      </c>
      <c r="J215" s="57" t="s">
        <v>22</v>
      </c>
      <c r="K215" s="129" t="s">
        <v>46</v>
      </c>
      <c r="L215" s="41" t="s">
        <v>228</v>
      </c>
      <c r="M215" s="57" t="s">
        <v>223</v>
      </c>
      <c r="N215" s="57" t="s">
        <v>223</v>
      </c>
      <c r="O215" s="106"/>
    </row>
    <row r="216" s="13" customFormat="1" ht="18" customHeight="1" spans="1:15">
      <c r="A216" s="109">
        <v>43800</v>
      </c>
      <c r="B216" s="8">
        <f t="shared" si="18"/>
        <v>3700</v>
      </c>
      <c r="C216" s="110"/>
      <c r="D216" s="111" t="s">
        <v>190</v>
      </c>
      <c r="E216" s="114"/>
      <c r="F216" s="8">
        <f t="shared" si="19"/>
        <v>0</v>
      </c>
      <c r="G216" s="162">
        <v>3700</v>
      </c>
      <c r="H216" s="30"/>
      <c r="I216" s="146"/>
      <c r="J216" s="57"/>
      <c r="K216" s="129" t="s">
        <v>229</v>
      </c>
      <c r="L216" s="41" t="s">
        <v>230</v>
      </c>
      <c r="M216" s="105"/>
      <c r="N216" s="57" t="s">
        <v>231</v>
      </c>
      <c r="O216" s="106"/>
    </row>
    <row r="217" s="13" customFormat="1" ht="18" customHeight="1" spans="1:15">
      <c r="A217" s="109">
        <v>43800</v>
      </c>
      <c r="B217" s="8">
        <f t="shared" si="18"/>
        <v>11798</v>
      </c>
      <c r="C217" s="110"/>
      <c r="D217" s="111" t="s">
        <v>53</v>
      </c>
      <c r="E217" s="114"/>
      <c r="F217" s="8">
        <f t="shared" si="19"/>
        <v>0</v>
      </c>
      <c r="G217" s="162">
        <f>370+670+500+600+200+480+600+200+240+220+300+400+325+200+800+370+65+260+350+300+330+330+200+549+324+350+370+200+390+260+375+320+350</f>
        <v>11798</v>
      </c>
      <c r="H217" s="30"/>
      <c r="I217" s="146"/>
      <c r="J217" s="57"/>
      <c r="K217" s="129" t="s">
        <v>107</v>
      </c>
      <c r="L217" s="41"/>
      <c r="M217" s="105"/>
      <c r="N217" s="105"/>
      <c r="O217" s="106"/>
    </row>
    <row r="218" s="13" customFormat="1" ht="18" customHeight="1" spans="1:15">
      <c r="A218" s="109">
        <v>43800</v>
      </c>
      <c r="B218" s="8">
        <f t="shared" si="18"/>
        <v>1930</v>
      </c>
      <c r="C218" s="110"/>
      <c r="D218" s="111" t="s">
        <v>53</v>
      </c>
      <c r="E218" s="114"/>
      <c r="F218" s="8">
        <f t="shared" si="19"/>
        <v>0</v>
      </c>
      <c r="G218" s="162">
        <v>1930</v>
      </c>
      <c r="H218" s="30"/>
      <c r="I218" s="146"/>
      <c r="J218" s="57"/>
      <c r="K218" s="129" t="s">
        <v>106</v>
      </c>
      <c r="L218" s="41"/>
      <c r="M218" s="105"/>
      <c r="N218" s="105"/>
      <c r="O218" s="106"/>
    </row>
    <row r="219" s="13" customFormat="1" ht="18" customHeight="1" spans="1:15">
      <c r="A219" s="109">
        <v>43800</v>
      </c>
      <c r="B219" s="8">
        <f t="shared" si="18"/>
        <v>7044.25</v>
      </c>
      <c r="C219" s="110"/>
      <c r="D219" s="111" t="s">
        <v>37</v>
      </c>
      <c r="E219" s="112">
        <v>0.13</v>
      </c>
      <c r="F219" s="8">
        <f t="shared" si="19"/>
        <v>915.75</v>
      </c>
      <c r="G219" s="162">
        <f>6800+1160</f>
        <v>7960</v>
      </c>
      <c r="H219" s="30"/>
      <c r="I219" s="146"/>
      <c r="J219" s="57"/>
      <c r="K219" s="129" t="s">
        <v>232</v>
      </c>
      <c r="L219" s="41"/>
      <c r="M219" s="105"/>
      <c r="N219" s="57" t="s">
        <v>231</v>
      </c>
      <c r="O219" s="106"/>
    </row>
    <row r="220" s="13" customFormat="1" ht="18" customHeight="1" spans="1:15">
      <c r="A220" s="109">
        <v>43800</v>
      </c>
      <c r="B220" s="8">
        <f t="shared" si="18"/>
        <v>1201</v>
      </c>
      <c r="C220" s="110"/>
      <c r="D220" s="111" t="s">
        <v>53</v>
      </c>
      <c r="E220" s="114"/>
      <c r="F220" s="8">
        <f t="shared" si="19"/>
        <v>0</v>
      </c>
      <c r="G220" s="162">
        <f>848+353</f>
        <v>1201</v>
      </c>
      <c r="H220" s="30"/>
      <c r="I220" s="146"/>
      <c r="J220" s="57"/>
      <c r="K220" s="129" t="s">
        <v>65</v>
      </c>
      <c r="L220" s="41" t="s">
        <v>233</v>
      </c>
      <c r="M220" s="105"/>
      <c r="N220" s="57" t="s">
        <v>231</v>
      </c>
      <c r="O220" s="106"/>
    </row>
    <row r="221" s="13" customFormat="1" ht="18" customHeight="1" spans="1:15">
      <c r="A221" s="109">
        <v>43800</v>
      </c>
      <c r="B221" s="8">
        <f t="shared" si="18"/>
        <v>1515</v>
      </c>
      <c r="C221" s="110"/>
      <c r="D221" s="111" t="s">
        <v>53</v>
      </c>
      <c r="E221" s="114"/>
      <c r="F221" s="8">
        <f t="shared" si="19"/>
        <v>0</v>
      </c>
      <c r="G221" s="162">
        <f>460+335+340+380</f>
        <v>1515</v>
      </c>
      <c r="H221" s="30"/>
      <c r="I221" s="146"/>
      <c r="J221" s="57"/>
      <c r="K221" s="129" t="s">
        <v>65</v>
      </c>
      <c r="L221" s="41" t="s">
        <v>107</v>
      </c>
      <c r="M221" s="105"/>
      <c r="N221" s="57" t="s">
        <v>231</v>
      </c>
      <c r="O221" s="106"/>
    </row>
    <row r="222" s="13" customFormat="1" ht="18" customHeight="1" spans="1:15">
      <c r="A222" s="109">
        <v>43800</v>
      </c>
      <c r="B222" s="8">
        <f t="shared" si="18"/>
        <v>91337.02</v>
      </c>
      <c r="C222" s="110"/>
      <c r="D222" s="111" t="s">
        <v>53</v>
      </c>
      <c r="E222" s="114"/>
      <c r="F222" s="8">
        <f t="shared" si="19"/>
        <v>0</v>
      </c>
      <c r="G222" s="162">
        <f>9310+9260+4485+5000+6100+5100+5925+2420+1400+5200+295.02+1481+8800+4075+4000+4100+8000+6386</f>
        <v>91337.02</v>
      </c>
      <c r="H222" s="30"/>
      <c r="I222" s="146"/>
      <c r="J222" s="57"/>
      <c r="K222" s="129" t="s">
        <v>65</v>
      </c>
      <c r="L222" s="41" t="s">
        <v>234</v>
      </c>
      <c r="M222" s="105"/>
      <c r="N222" s="57" t="s">
        <v>231</v>
      </c>
      <c r="O222" s="106"/>
    </row>
    <row r="223" s="13" customFormat="1" ht="18" customHeight="1" spans="1:15">
      <c r="A223" s="109">
        <v>43800</v>
      </c>
      <c r="B223" s="8">
        <f t="shared" si="18"/>
        <v>46615</v>
      </c>
      <c r="C223" s="110"/>
      <c r="D223" s="111" t="s">
        <v>53</v>
      </c>
      <c r="E223" s="114"/>
      <c r="F223" s="8">
        <f t="shared" si="19"/>
        <v>0</v>
      </c>
      <c r="G223" s="162">
        <f>2175+2200+1400+2250+4940+1240+9800+1830+3200+3760+3840+9980</f>
        <v>46615</v>
      </c>
      <c r="H223" s="30"/>
      <c r="I223" s="146"/>
      <c r="J223" s="57"/>
      <c r="K223" s="129" t="s">
        <v>65</v>
      </c>
      <c r="L223" s="41" t="s">
        <v>235</v>
      </c>
      <c r="M223" s="105"/>
      <c r="N223" s="57" t="s">
        <v>231</v>
      </c>
      <c r="O223" s="106"/>
    </row>
    <row r="224" s="13" customFormat="1" ht="18" customHeight="1" spans="1:15">
      <c r="A224" s="109">
        <v>43800</v>
      </c>
      <c r="B224" s="8">
        <f t="shared" si="18"/>
        <v>65258.6</v>
      </c>
      <c r="C224" s="110"/>
      <c r="D224" s="111" t="s">
        <v>53</v>
      </c>
      <c r="E224" s="114"/>
      <c r="F224" s="8">
        <f t="shared" si="19"/>
        <v>0</v>
      </c>
      <c r="G224" s="162">
        <f>5815+15416+16985.6+10200+2142+14700</f>
        <v>65258.6</v>
      </c>
      <c r="H224" s="30"/>
      <c r="I224" s="146"/>
      <c r="J224" s="57"/>
      <c r="K224" s="129" t="s">
        <v>65</v>
      </c>
      <c r="L224" s="41" t="s">
        <v>236</v>
      </c>
      <c r="M224" s="105"/>
      <c r="N224" s="57" t="s">
        <v>231</v>
      </c>
      <c r="O224" s="106"/>
    </row>
    <row r="225" s="13" customFormat="1" ht="18" customHeight="1" spans="1:15">
      <c r="A225" s="109"/>
      <c r="B225" s="8">
        <f t="shared" si="18"/>
        <v>0</v>
      </c>
      <c r="C225" s="110"/>
      <c r="D225" s="111"/>
      <c r="E225" s="114"/>
      <c r="F225" s="8">
        <f t="shared" si="19"/>
        <v>0</v>
      </c>
      <c r="G225" s="162"/>
      <c r="H225" s="30">
        <v>43833</v>
      </c>
      <c r="I225" s="168">
        <v>134100</v>
      </c>
      <c r="J225" s="57" t="s">
        <v>22</v>
      </c>
      <c r="K225" s="129" t="s">
        <v>46</v>
      </c>
      <c r="L225" s="41"/>
      <c r="M225" s="105"/>
      <c r="N225" s="105"/>
      <c r="O225" s="106"/>
    </row>
    <row r="226" s="13" customFormat="1" ht="18" customHeight="1" spans="1:15">
      <c r="A226" s="109"/>
      <c r="B226" s="8">
        <f t="shared" si="18"/>
        <v>0</v>
      </c>
      <c r="C226" s="110"/>
      <c r="D226" s="111"/>
      <c r="E226" s="114"/>
      <c r="F226" s="8">
        <f t="shared" si="19"/>
        <v>0</v>
      </c>
      <c r="G226" s="162"/>
      <c r="H226" s="30">
        <v>43850</v>
      </c>
      <c r="I226" s="168">
        <v>800000</v>
      </c>
      <c r="J226" s="57" t="s">
        <v>22</v>
      </c>
      <c r="K226" s="129" t="s">
        <v>110</v>
      </c>
      <c r="L226" s="41" t="s">
        <v>225</v>
      </c>
      <c r="M226" s="105"/>
      <c r="N226" s="105"/>
      <c r="O226" s="106"/>
    </row>
    <row r="227" s="13" customFormat="1" ht="18" customHeight="1" spans="1:15">
      <c r="A227" s="109"/>
      <c r="B227" s="8">
        <f t="shared" si="18"/>
        <v>0</v>
      </c>
      <c r="C227" s="110"/>
      <c r="D227" s="111"/>
      <c r="E227" s="114"/>
      <c r="F227" s="8">
        <f t="shared" si="19"/>
        <v>0</v>
      </c>
      <c r="G227" s="162"/>
      <c r="H227" s="30">
        <v>43850</v>
      </c>
      <c r="I227" s="168">
        <v>1000000</v>
      </c>
      <c r="J227" s="57" t="s">
        <v>22</v>
      </c>
      <c r="K227" s="129" t="s">
        <v>209</v>
      </c>
      <c r="L227" s="41" t="s">
        <v>159</v>
      </c>
      <c r="M227" s="105"/>
      <c r="N227" s="105"/>
      <c r="O227" s="106"/>
    </row>
    <row r="228" s="13" customFormat="1" ht="18" customHeight="1" spans="1:15">
      <c r="A228" s="109"/>
      <c r="B228" s="8">
        <f t="shared" si="18"/>
        <v>0</v>
      </c>
      <c r="C228" s="110"/>
      <c r="D228" s="111"/>
      <c r="E228" s="114"/>
      <c r="F228" s="8">
        <f t="shared" si="19"/>
        <v>0</v>
      </c>
      <c r="G228" s="162"/>
      <c r="H228" s="30">
        <v>43850</v>
      </c>
      <c r="I228" s="168">
        <v>500000</v>
      </c>
      <c r="J228" s="57" t="s">
        <v>42</v>
      </c>
      <c r="K228" s="129" t="s">
        <v>162</v>
      </c>
      <c r="L228" s="41" t="s">
        <v>237</v>
      </c>
      <c r="M228" s="105"/>
      <c r="N228" s="105"/>
      <c r="O228" s="106"/>
    </row>
    <row r="229" s="13" customFormat="1" ht="18" customHeight="1" spans="1:15">
      <c r="A229" s="109"/>
      <c r="B229" s="8">
        <f t="shared" si="18"/>
        <v>0</v>
      </c>
      <c r="C229" s="110"/>
      <c r="D229" s="111"/>
      <c r="E229" s="114"/>
      <c r="F229" s="8">
        <f t="shared" si="19"/>
        <v>0</v>
      </c>
      <c r="G229" s="162"/>
      <c r="H229" s="30">
        <v>43850</v>
      </c>
      <c r="I229" s="168">
        <v>944992</v>
      </c>
      <c r="J229" s="57" t="s">
        <v>42</v>
      </c>
      <c r="K229" s="129" t="s">
        <v>160</v>
      </c>
      <c r="L229" s="41" t="s">
        <v>238</v>
      </c>
      <c r="M229" s="105"/>
      <c r="N229" s="105"/>
      <c r="O229" s="106"/>
    </row>
    <row r="230" s="13" customFormat="1" ht="18" customHeight="1" spans="1:16">
      <c r="A230" s="109">
        <v>43891</v>
      </c>
      <c r="B230" s="8">
        <f t="shared" si="18"/>
        <v>344652.43</v>
      </c>
      <c r="C230" s="110"/>
      <c r="D230" s="111" t="s">
        <v>37</v>
      </c>
      <c r="E230" s="112">
        <v>0.03</v>
      </c>
      <c r="F230" s="8">
        <f t="shared" si="19"/>
        <v>10339.57</v>
      </c>
      <c r="G230" s="162">
        <v>354992</v>
      </c>
      <c r="H230" s="30"/>
      <c r="I230" s="168"/>
      <c r="J230" s="57"/>
      <c r="K230" s="129" t="s">
        <v>160</v>
      </c>
      <c r="L230" s="41" t="s">
        <v>239</v>
      </c>
      <c r="M230" s="105"/>
      <c r="N230" s="105"/>
      <c r="O230" s="106"/>
      <c r="P230" s="170" t="s">
        <v>240</v>
      </c>
    </row>
    <row r="231" s="13" customFormat="1" ht="18" customHeight="1" spans="1:16">
      <c r="A231" s="109">
        <v>43891</v>
      </c>
      <c r="B231" s="8">
        <f t="shared" si="18"/>
        <v>500000</v>
      </c>
      <c r="C231" s="110"/>
      <c r="D231" s="111" t="s">
        <v>241</v>
      </c>
      <c r="E231" s="114"/>
      <c r="F231" s="8">
        <f t="shared" si="19"/>
        <v>0</v>
      </c>
      <c r="G231" s="162">
        <v>500000</v>
      </c>
      <c r="H231" s="30"/>
      <c r="I231" s="168"/>
      <c r="J231" s="57"/>
      <c r="K231" s="129" t="s">
        <v>162</v>
      </c>
      <c r="L231" s="41" t="s">
        <v>237</v>
      </c>
      <c r="M231" s="105"/>
      <c r="N231" s="105"/>
      <c r="O231" s="106"/>
      <c r="P231" s="170"/>
    </row>
    <row r="232" s="13" customFormat="1" ht="18" customHeight="1" spans="1:16">
      <c r="A232" s="109">
        <v>43891</v>
      </c>
      <c r="B232" s="8">
        <f t="shared" si="18"/>
        <v>776699.03</v>
      </c>
      <c r="C232" s="110"/>
      <c r="D232" s="111" t="s">
        <v>37</v>
      </c>
      <c r="E232" s="114">
        <v>0.03</v>
      </c>
      <c r="F232" s="8">
        <f t="shared" si="19"/>
        <v>23300.97</v>
      </c>
      <c r="G232" s="162">
        <v>800000</v>
      </c>
      <c r="H232" s="99"/>
      <c r="I232" s="107"/>
      <c r="J232" s="105"/>
      <c r="K232" s="129" t="s">
        <v>110</v>
      </c>
      <c r="L232" s="41" t="s">
        <v>242</v>
      </c>
      <c r="M232" s="105"/>
      <c r="N232" s="105"/>
      <c r="O232" s="106"/>
      <c r="P232" s="170"/>
    </row>
    <row r="233" s="13" customFormat="1" ht="18" customHeight="1" spans="1:16">
      <c r="A233" s="109">
        <v>43891</v>
      </c>
      <c r="B233" s="8">
        <f t="shared" si="18"/>
        <v>9674.39</v>
      </c>
      <c r="C233" s="110"/>
      <c r="D233" s="111" t="s">
        <v>53</v>
      </c>
      <c r="E233" s="114"/>
      <c r="F233" s="8">
        <f t="shared" si="19"/>
        <v>0</v>
      </c>
      <c r="G233" s="162">
        <v>9674.39</v>
      </c>
      <c r="H233" s="30"/>
      <c r="I233" s="168"/>
      <c r="J233" s="57"/>
      <c r="K233" s="129" t="s">
        <v>65</v>
      </c>
      <c r="L233" s="41" t="s">
        <v>243</v>
      </c>
      <c r="M233" s="105"/>
      <c r="N233" s="105"/>
      <c r="O233" s="106"/>
      <c r="P233" s="170"/>
    </row>
    <row r="234" s="13" customFormat="1" ht="18" customHeight="1" spans="1:15">
      <c r="A234" s="109"/>
      <c r="B234" s="8">
        <f t="shared" si="18"/>
        <v>0</v>
      </c>
      <c r="C234" s="110"/>
      <c r="D234" s="111"/>
      <c r="E234" s="114"/>
      <c r="F234" s="8">
        <f t="shared" si="19"/>
        <v>0</v>
      </c>
      <c r="G234" s="162"/>
      <c r="H234" s="30">
        <v>43922</v>
      </c>
      <c r="I234" s="168">
        <v>-168000</v>
      </c>
      <c r="J234" s="57" t="s">
        <v>42</v>
      </c>
      <c r="K234" s="129" t="s">
        <v>43</v>
      </c>
      <c r="L234" s="41"/>
      <c r="M234" s="105"/>
      <c r="N234" s="105"/>
      <c r="O234" s="106"/>
    </row>
    <row r="235" s="13" customFormat="1" ht="18" customHeight="1" spans="1:15">
      <c r="A235" s="109"/>
      <c r="B235" s="8">
        <f t="shared" si="18"/>
        <v>0</v>
      </c>
      <c r="C235" s="110"/>
      <c r="D235" s="111"/>
      <c r="E235" s="114"/>
      <c r="F235" s="8">
        <f t="shared" si="19"/>
        <v>0</v>
      </c>
      <c r="G235" s="162"/>
      <c r="H235" s="30">
        <v>43922</v>
      </c>
      <c r="I235" s="168">
        <v>168000</v>
      </c>
      <c r="J235" s="57" t="s">
        <v>22</v>
      </c>
      <c r="K235" s="129" t="s">
        <v>46</v>
      </c>
      <c r="L235" s="41" t="s">
        <v>244</v>
      </c>
      <c r="M235" s="105"/>
      <c r="N235" s="105"/>
      <c r="O235" s="106"/>
    </row>
    <row r="236" s="13" customFormat="1" ht="18" customHeight="1" spans="1:15">
      <c r="A236" s="109">
        <v>43941</v>
      </c>
      <c r="B236" s="8">
        <f t="shared" si="18"/>
        <v>118672.57</v>
      </c>
      <c r="C236" s="110"/>
      <c r="D236" s="111" t="s">
        <v>37</v>
      </c>
      <c r="E236" s="112">
        <v>0.13</v>
      </c>
      <c r="F236" s="8">
        <f t="shared" si="19"/>
        <v>15427.43</v>
      </c>
      <c r="G236" s="162">
        <v>134100</v>
      </c>
      <c r="H236" s="30"/>
      <c r="I236" s="168"/>
      <c r="J236" s="57"/>
      <c r="K236" s="129" t="s">
        <v>245</v>
      </c>
      <c r="L236" s="41" t="s">
        <v>47</v>
      </c>
      <c r="M236" s="105"/>
      <c r="N236" s="105"/>
      <c r="O236" s="106"/>
    </row>
    <row r="237" s="13" customFormat="1" ht="18" customHeight="1" spans="1:15">
      <c r="A237" s="109">
        <v>44228</v>
      </c>
      <c r="B237" s="8">
        <f t="shared" si="18"/>
        <v>291262.14</v>
      </c>
      <c r="C237" s="110">
        <v>1</v>
      </c>
      <c r="D237" s="111" t="s">
        <v>37</v>
      </c>
      <c r="E237" s="112">
        <v>0.03</v>
      </c>
      <c r="F237" s="8">
        <f t="shared" si="19"/>
        <v>8737.86</v>
      </c>
      <c r="G237" s="162">
        <v>300000</v>
      </c>
      <c r="H237" s="30">
        <v>44231</v>
      </c>
      <c r="I237" s="96">
        <v>300000</v>
      </c>
      <c r="J237" s="64" t="s">
        <v>22</v>
      </c>
      <c r="K237" s="67" t="s">
        <v>160</v>
      </c>
      <c r="L237" s="63" t="s">
        <v>238</v>
      </c>
      <c r="M237" s="64" t="s">
        <v>246</v>
      </c>
      <c r="N237" s="105"/>
      <c r="O237" s="106"/>
    </row>
    <row r="238" s="13" customFormat="1" ht="18" customHeight="1" spans="1:15">
      <c r="A238" s="42">
        <v>44228</v>
      </c>
      <c r="B238" s="28">
        <f t="shared" si="18"/>
        <v>1633663.37</v>
      </c>
      <c r="C238" s="43">
        <v>18</v>
      </c>
      <c r="D238" s="44" t="s">
        <v>37</v>
      </c>
      <c r="E238" s="83">
        <v>0.01</v>
      </c>
      <c r="F238" s="28">
        <f t="shared" si="19"/>
        <v>16336.63</v>
      </c>
      <c r="G238" s="152">
        <f>99600*3+95000*11+50000+57000+99700+99500</f>
        <v>1650000</v>
      </c>
      <c r="H238" s="30">
        <v>44231</v>
      </c>
      <c r="I238" s="96">
        <v>1650000</v>
      </c>
      <c r="J238" s="64" t="s">
        <v>22</v>
      </c>
      <c r="K238" s="67" t="s">
        <v>209</v>
      </c>
      <c r="L238" s="63" t="s">
        <v>159</v>
      </c>
      <c r="M238" s="64" t="s">
        <v>247</v>
      </c>
      <c r="N238" s="105"/>
      <c r="O238" s="106"/>
    </row>
    <row r="239" s="13" customFormat="1" ht="18" customHeight="1" spans="1:15">
      <c r="A239" s="42">
        <v>44228</v>
      </c>
      <c r="B239" s="28">
        <f t="shared" si="18"/>
        <v>257425.74</v>
      </c>
      <c r="C239" s="43">
        <v>3</v>
      </c>
      <c r="D239" s="44" t="s">
        <v>37</v>
      </c>
      <c r="E239" s="83">
        <v>0.01</v>
      </c>
      <c r="F239" s="28">
        <f t="shared" si="19"/>
        <v>2574.26</v>
      </c>
      <c r="G239" s="152">
        <f>90000+90000+80000</f>
        <v>260000</v>
      </c>
      <c r="H239" s="30">
        <v>44235</v>
      </c>
      <c r="I239" s="96">
        <v>260000</v>
      </c>
      <c r="J239" s="64" t="s">
        <v>22</v>
      </c>
      <c r="K239" s="67" t="s">
        <v>110</v>
      </c>
      <c r="L239" s="63" t="s">
        <v>225</v>
      </c>
      <c r="M239" s="64" t="s">
        <v>248</v>
      </c>
      <c r="N239" s="105"/>
      <c r="O239" s="106"/>
    </row>
    <row r="240" s="13" customFormat="1" ht="18" customHeight="1" spans="1:15">
      <c r="A240" s="109"/>
      <c r="B240" s="8">
        <f t="shared" si="18"/>
        <v>0</v>
      </c>
      <c r="C240" s="110"/>
      <c r="D240" s="111"/>
      <c r="E240" s="112"/>
      <c r="F240" s="8">
        <f t="shared" si="19"/>
        <v>0</v>
      </c>
      <c r="G240" s="162"/>
      <c r="H240" s="30"/>
      <c r="I240" s="96">
        <v>-256277.145747716</v>
      </c>
      <c r="J240" s="64" t="s">
        <v>249</v>
      </c>
      <c r="K240" s="67" t="s">
        <v>250</v>
      </c>
      <c r="L240" s="63"/>
      <c r="M240" s="64"/>
      <c r="N240" s="105"/>
      <c r="O240" s="106"/>
    </row>
    <row r="241" s="13" customFormat="1" ht="18" customHeight="1" spans="1:15">
      <c r="A241" s="109"/>
      <c r="B241" s="8">
        <f t="shared" si="18"/>
        <v>0</v>
      </c>
      <c r="C241" s="110"/>
      <c r="D241" s="111"/>
      <c r="E241" s="112"/>
      <c r="F241" s="8">
        <f t="shared" si="19"/>
        <v>0</v>
      </c>
      <c r="G241" s="162"/>
      <c r="H241" s="30" t="s">
        <v>251</v>
      </c>
      <c r="I241" s="168">
        <v>400</v>
      </c>
      <c r="J241" s="57" t="s">
        <v>252</v>
      </c>
      <c r="K241" s="129" t="s">
        <v>253</v>
      </c>
      <c r="L241" s="41"/>
      <c r="M241" s="105"/>
      <c r="N241" s="105"/>
      <c r="O241" s="106"/>
    </row>
    <row r="242" s="13" customFormat="1" ht="18" customHeight="1" spans="1:15">
      <c r="A242" s="109"/>
      <c r="B242" s="8">
        <f t="shared" si="18"/>
        <v>0</v>
      </c>
      <c r="C242" s="110"/>
      <c r="D242" s="111"/>
      <c r="E242" s="112"/>
      <c r="F242" s="8">
        <f t="shared" si="19"/>
        <v>0</v>
      </c>
      <c r="G242" s="162"/>
      <c r="H242" s="30" t="s">
        <v>251</v>
      </c>
      <c r="I242" s="168">
        <v>256277.145747716</v>
      </c>
      <c r="J242" s="57" t="s">
        <v>254</v>
      </c>
      <c r="K242" s="129" t="s">
        <v>255</v>
      </c>
      <c r="L242" s="41"/>
      <c r="M242" s="105"/>
      <c r="N242" s="105"/>
      <c r="O242" s="106"/>
    </row>
    <row r="243" s="13" customFormat="1" ht="18" customHeight="1" spans="1:15">
      <c r="A243" s="109"/>
      <c r="B243" s="8">
        <f t="shared" si="18"/>
        <v>0</v>
      </c>
      <c r="C243" s="110"/>
      <c r="D243" s="111"/>
      <c r="E243" s="112"/>
      <c r="F243" s="8">
        <f t="shared" si="19"/>
        <v>0</v>
      </c>
      <c r="G243" s="162"/>
      <c r="H243" s="30" t="s">
        <v>251</v>
      </c>
      <c r="I243" s="168">
        <v>20077.55826</v>
      </c>
      <c r="J243" s="57" t="s">
        <v>252</v>
      </c>
      <c r="K243" s="129" t="s">
        <v>256</v>
      </c>
      <c r="L243" s="41"/>
      <c r="M243" s="105"/>
      <c r="N243" s="105"/>
      <c r="O243" s="106"/>
    </row>
    <row r="244" s="13" customFormat="1" ht="18" customHeight="1" spans="1:15">
      <c r="A244" s="109"/>
      <c r="B244" s="8">
        <f t="shared" si="18"/>
        <v>0</v>
      </c>
      <c r="C244" s="110"/>
      <c r="D244" s="111"/>
      <c r="E244" s="112"/>
      <c r="F244" s="8">
        <f t="shared" si="19"/>
        <v>0</v>
      </c>
      <c r="G244" s="162"/>
      <c r="H244" s="30" t="s">
        <v>251</v>
      </c>
      <c r="I244" s="168">
        <v>185728.975677064</v>
      </c>
      <c r="J244" s="57" t="s">
        <v>252</v>
      </c>
      <c r="K244" s="129" t="s">
        <v>257</v>
      </c>
      <c r="L244" s="41"/>
      <c r="M244" s="105"/>
      <c r="N244" s="105"/>
      <c r="O244" s="106"/>
    </row>
    <row r="245" s="13" customFormat="1" ht="18" customHeight="1" spans="1:15">
      <c r="A245" s="109"/>
      <c r="B245" s="8">
        <f t="shared" si="18"/>
        <v>0</v>
      </c>
      <c r="C245" s="110"/>
      <c r="D245" s="111"/>
      <c r="E245" s="114"/>
      <c r="F245" s="8">
        <f t="shared" si="19"/>
        <v>0</v>
      </c>
      <c r="G245" s="162"/>
      <c r="H245" s="30" t="s">
        <v>258</v>
      </c>
      <c r="I245" s="168">
        <v>-100</v>
      </c>
      <c r="J245" s="57" t="s">
        <v>259</v>
      </c>
      <c r="K245" s="129" t="s">
        <v>260</v>
      </c>
      <c r="L245" s="41"/>
      <c r="M245" s="105"/>
      <c r="N245" s="105"/>
      <c r="O245" s="106"/>
    </row>
    <row r="246" s="13" customFormat="1" ht="18" customHeight="1" spans="1:15">
      <c r="A246" s="109"/>
      <c r="B246" s="8">
        <f t="shared" si="18"/>
        <v>0</v>
      </c>
      <c r="C246" s="110"/>
      <c r="D246" s="111"/>
      <c r="E246" s="114"/>
      <c r="F246" s="8">
        <f t="shared" si="19"/>
        <v>0</v>
      </c>
      <c r="G246" s="162"/>
      <c r="H246" s="30" t="s">
        <v>258</v>
      </c>
      <c r="I246" s="168">
        <v>100</v>
      </c>
      <c r="J246" s="57" t="s">
        <v>252</v>
      </c>
      <c r="K246" s="129" t="s">
        <v>253</v>
      </c>
      <c r="L246" s="41"/>
      <c r="M246" s="105"/>
      <c r="N246" s="105"/>
      <c r="O246" s="106"/>
    </row>
    <row r="247" s="13" customFormat="1" ht="18" customHeight="1" spans="1:15">
      <c r="A247" s="109"/>
      <c r="B247" s="8">
        <f t="shared" si="18"/>
        <v>0</v>
      </c>
      <c r="C247" s="110"/>
      <c r="D247" s="111"/>
      <c r="E247" s="114"/>
      <c r="F247" s="8">
        <f t="shared" si="19"/>
        <v>0</v>
      </c>
      <c r="G247" s="162"/>
      <c r="H247" s="30" t="s">
        <v>261</v>
      </c>
      <c r="I247" s="146">
        <v>500</v>
      </c>
      <c r="J247" s="57" t="s">
        <v>252</v>
      </c>
      <c r="K247" s="129" t="s">
        <v>253</v>
      </c>
      <c r="L247" s="41"/>
      <c r="M247" s="105"/>
      <c r="N247" s="105"/>
      <c r="O247" s="106"/>
    </row>
    <row r="248" s="13" customFormat="1" ht="18" customHeight="1" spans="1:16">
      <c r="A248" s="109" t="s">
        <v>16</v>
      </c>
      <c r="B248" s="8">
        <f t="shared" si="18"/>
        <v>0</v>
      </c>
      <c r="C248" s="110"/>
      <c r="D248" s="111"/>
      <c r="E248" s="114"/>
      <c r="F248" s="8">
        <f t="shared" si="19"/>
        <v>0</v>
      </c>
      <c r="G248" s="162"/>
      <c r="H248" s="30" t="s">
        <v>261</v>
      </c>
      <c r="I248" s="146">
        <v>6300</v>
      </c>
      <c r="J248" s="57" t="s">
        <v>252</v>
      </c>
      <c r="K248" s="129" t="s">
        <v>262</v>
      </c>
      <c r="L248" s="41"/>
      <c r="M248" s="105"/>
      <c r="N248" s="105"/>
      <c r="O248" s="106"/>
      <c r="P248" s="13">
        <f>I238-G238</f>
        <v>0</v>
      </c>
    </row>
    <row r="249" s="13" customFormat="1" ht="18" customHeight="1" spans="1:15">
      <c r="A249" s="109"/>
      <c r="B249" s="8">
        <f t="shared" si="18"/>
        <v>0</v>
      </c>
      <c r="C249" s="110"/>
      <c r="D249" s="111"/>
      <c r="E249" s="114"/>
      <c r="F249" s="8">
        <f t="shared" si="19"/>
        <v>0</v>
      </c>
      <c r="G249" s="162"/>
      <c r="H249" s="30" t="s">
        <v>261</v>
      </c>
      <c r="I249" s="146">
        <v>40462</v>
      </c>
      <c r="J249" s="57" t="s">
        <v>254</v>
      </c>
      <c r="K249" s="129" t="s">
        <v>255</v>
      </c>
      <c r="L249" s="41"/>
      <c r="M249" s="105"/>
      <c r="N249" s="105"/>
      <c r="O249" s="106"/>
    </row>
    <row r="250" s="13" customFormat="1" ht="18" customHeight="1" spans="1:15">
      <c r="A250" s="109"/>
      <c r="B250" s="8">
        <f t="shared" si="18"/>
        <v>0</v>
      </c>
      <c r="C250" s="110"/>
      <c r="D250" s="111"/>
      <c r="E250" s="114"/>
      <c r="F250" s="8">
        <f t="shared" si="19"/>
        <v>0</v>
      </c>
      <c r="G250" s="162"/>
      <c r="H250" s="30" t="s">
        <v>261</v>
      </c>
      <c r="I250" s="146">
        <v>28444</v>
      </c>
      <c r="J250" s="57" t="s">
        <v>252</v>
      </c>
      <c r="K250" s="129" t="s">
        <v>6</v>
      </c>
      <c r="L250" s="41"/>
      <c r="M250" s="105"/>
      <c r="N250" s="105"/>
      <c r="O250" s="106"/>
    </row>
    <row r="251" s="13" customFormat="1" ht="18" customHeight="1" spans="1:16">
      <c r="A251" s="109"/>
      <c r="B251" s="8">
        <f t="shared" si="18"/>
        <v>0</v>
      </c>
      <c r="C251" s="110"/>
      <c r="D251" s="111"/>
      <c r="E251" s="114"/>
      <c r="F251" s="8">
        <f t="shared" si="19"/>
        <v>0</v>
      </c>
      <c r="G251" s="162"/>
      <c r="H251" s="30" t="s">
        <v>261</v>
      </c>
      <c r="I251" s="146">
        <v>92503</v>
      </c>
      <c r="J251" s="57" t="s">
        <v>252</v>
      </c>
      <c r="K251" s="129" t="s">
        <v>263</v>
      </c>
      <c r="L251" s="41"/>
      <c r="M251" s="105"/>
      <c r="N251" s="105"/>
      <c r="O251" s="106"/>
      <c r="P251" s="13">
        <f>I242+I249</f>
        <v>296739.145747716</v>
      </c>
    </row>
    <row r="252" s="13" customFormat="1" ht="18" customHeight="1" spans="1:15">
      <c r="A252" s="109"/>
      <c r="B252" s="8">
        <f t="shared" si="18"/>
        <v>0</v>
      </c>
      <c r="C252" s="110"/>
      <c r="D252" s="111"/>
      <c r="E252" s="114"/>
      <c r="F252" s="8">
        <f t="shared" si="19"/>
        <v>0</v>
      </c>
      <c r="G252" s="162"/>
      <c r="H252" s="30">
        <v>43833</v>
      </c>
      <c r="I252" s="146">
        <v>100</v>
      </c>
      <c r="J252" s="57" t="s">
        <v>252</v>
      </c>
      <c r="K252" s="129" t="s">
        <v>264</v>
      </c>
      <c r="L252" s="41"/>
      <c r="M252" s="105"/>
      <c r="N252" s="105"/>
      <c r="O252" s="106"/>
    </row>
    <row r="253" s="13" customFormat="1" ht="18" customHeight="1" spans="1:15">
      <c r="A253" s="109"/>
      <c r="B253" s="8">
        <f t="shared" si="18"/>
        <v>0</v>
      </c>
      <c r="C253" s="110"/>
      <c r="D253" s="111"/>
      <c r="E253" s="114"/>
      <c r="F253" s="8">
        <f t="shared" si="19"/>
        <v>0</v>
      </c>
      <c r="G253" s="162"/>
      <c r="H253" s="30">
        <v>43816</v>
      </c>
      <c r="I253" s="146">
        <v>150</v>
      </c>
      <c r="J253" s="57" t="s">
        <v>252</v>
      </c>
      <c r="K253" s="129" t="s">
        <v>264</v>
      </c>
      <c r="L253" s="41"/>
      <c r="M253" s="105"/>
      <c r="N253" s="105"/>
      <c r="O253" s="106"/>
    </row>
    <row r="254" s="13" customFormat="1" ht="18" customHeight="1" spans="1:15">
      <c r="A254" s="109"/>
      <c r="B254" s="8">
        <f t="shared" si="18"/>
        <v>0</v>
      </c>
      <c r="C254" s="110"/>
      <c r="D254" s="111"/>
      <c r="E254" s="114"/>
      <c r="F254" s="8">
        <f t="shared" si="19"/>
        <v>0</v>
      </c>
      <c r="G254" s="162"/>
      <c r="H254" s="30">
        <v>43809</v>
      </c>
      <c r="I254" s="146">
        <v>200</v>
      </c>
      <c r="J254" s="57" t="s">
        <v>252</v>
      </c>
      <c r="K254" s="129" t="s">
        <v>264</v>
      </c>
      <c r="L254" s="41"/>
      <c r="M254" s="105"/>
      <c r="N254" s="105"/>
      <c r="O254" s="106"/>
    </row>
    <row r="255" s="13" customFormat="1" ht="18" customHeight="1" spans="1:15">
      <c r="A255" s="109"/>
      <c r="B255" s="8">
        <f t="shared" si="18"/>
        <v>0</v>
      </c>
      <c r="C255" s="110"/>
      <c r="D255" s="111"/>
      <c r="E255" s="114"/>
      <c r="F255" s="8">
        <f t="shared" si="19"/>
        <v>0</v>
      </c>
      <c r="G255" s="162"/>
      <c r="H255" s="30" t="s">
        <v>265</v>
      </c>
      <c r="I255" s="146">
        <v>1469.5</v>
      </c>
      <c r="J255" s="57" t="s">
        <v>252</v>
      </c>
      <c r="K255" s="129" t="s">
        <v>266</v>
      </c>
      <c r="L255" s="41"/>
      <c r="M255" s="105"/>
      <c r="N255" s="105"/>
      <c r="O255" s="106"/>
    </row>
    <row r="256" s="13" customFormat="1" ht="18" customHeight="1" spans="1:15">
      <c r="A256" s="109"/>
      <c r="B256" s="8">
        <f t="shared" si="18"/>
        <v>0</v>
      </c>
      <c r="C256" s="110"/>
      <c r="D256" s="111"/>
      <c r="E256" s="114"/>
      <c r="F256" s="8">
        <f t="shared" si="19"/>
        <v>0</v>
      </c>
      <c r="G256" s="162"/>
      <c r="H256" s="30" t="s">
        <v>265</v>
      </c>
      <c r="I256" s="146">
        <v>16881</v>
      </c>
      <c r="J256" s="57" t="s">
        <v>252</v>
      </c>
      <c r="K256" s="129" t="s">
        <v>6</v>
      </c>
      <c r="L256" s="41"/>
      <c r="M256" s="105"/>
      <c r="N256" s="105"/>
      <c r="O256" s="106"/>
    </row>
    <row r="257" s="13" customFormat="1" ht="18" customHeight="1" spans="1:15">
      <c r="A257" s="109"/>
      <c r="B257" s="8">
        <f t="shared" si="18"/>
        <v>0</v>
      </c>
      <c r="C257" s="110"/>
      <c r="D257" s="111"/>
      <c r="E257" s="114"/>
      <c r="F257" s="8">
        <f t="shared" si="19"/>
        <v>0</v>
      </c>
      <c r="G257" s="162"/>
      <c r="H257" s="30" t="s">
        <v>265</v>
      </c>
      <c r="I257" s="146">
        <v>42338</v>
      </c>
      <c r="J257" s="57" t="s">
        <v>252</v>
      </c>
      <c r="K257" s="129" t="s">
        <v>267</v>
      </c>
      <c r="L257" s="41"/>
      <c r="M257" s="105"/>
      <c r="N257" s="105"/>
      <c r="O257" s="106"/>
    </row>
    <row r="258" s="13" customFormat="1" ht="18" customHeight="1" spans="1:15">
      <c r="A258" s="109"/>
      <c r="B258" s="8">
        <f t="shared" si="18"/>
        <v>0</v>
      </c>
      <c r="C258" s="110"/>
      <c r="D258" s="111"/>
      <c r="E258" s="114"/>
      <c r="F258" s="8">
        <f t="shared" si="19"/>
        <v>0</v>
      </c>
      <c r="G258" s="164"/>
      <c r="H258" s="30" t="s">
        <v>265</v>
      </c>
      <c r="I258" s="146">
        <v>-31490</v>
      </c>
      <c r="J258" s="64" t="s">
        <v>249</v>
      </c>
      <c r="K258" s="67" t="s">
        <v>268</v>
      </c>
      <c r="L258" s="106"/>
      <c r="M258" s="105"/>
      <c r="N258" s="105"/>
      <c r="O258" s="106"/>
    </row>
    <row r="259" s="10" customFormat="1" ht="18" customHeight="1" spans="1:15">
      <c r="A259" s="42"/>
      <c r="B259" s="8">
        <f t="shared" si="18"/>
        <v>0</v>
      </c>
      <c r="C259" s="110"/>
      <c r="D259" s="111"/>
      <c r="E259" s="114"/>
      <c r="F259" s="8">
        <f t="shared" si="19"/>
        <v>0</v>
      </c>
      <c r="G259" s="152"/>
      <c r="H259" s="30"/>
      <c r="I259" s="146">
        <v>31490</v>
      </c>
      <c r="J259" s="57" t="s">
        <v>254</v>
      </c>
      <c r="K259" s="67" t="s">
        <v>269</v>
      </c>
      <c r="L259" s="63"/>
      <c r="M259" s="64"/>
      <c r="N259" s="64"/>
      <c r="O259" s="63"/>
    </row>
    <row r="260" s="10" customFormat="1" ht="18" customHeight="1" spans="1:15">
      <c r="A260" s="42"/>
      <c r="B260" s="8">
        <f t="shared" si="18"/>
        <v>0</v>
      </c>
      <c r="C260" s="110"/>
      <c r="D260" s="111"/>
      <c r="E260" s="114"/>
      <c r="F260" s="8">
        <f t="shared" si="19"/>
        <v>0</v>
      </c>
      <c r="G260" s="152"/>
      <c r="H260" s="30"/>
      <c r="I260" s="146">
        <v>30850</v>
      </c>
      <c r="J260" s="57" t="s">
        <v>252</v>
      </c>
      <c r="K260" s="67" t="s">
        <v>6</v>
      </c>
      <c r="L260" s="63"/>
      <c r="M260" s="64"/>
      <c r="N260" s="64"/>
      <c r="O260" s="63"/>
    </row>
    <row r="261" s="10" customFormat="1" ht="18" customHeight="1" spans="1:15">
      <c r="A261" s="42"/>
      <c r="B261" s="8">
        <f t="shared" si="18"/>
        <v>0</v>
      </c>
      <c r="C261" s="110"/>
      <c r="D261" s="111"/>
      <c r="E261" s="114"/>
      <c r="F261" s="8">
        <f t="shared" si="19"/>
        <v>0</v>
      </c>
      <c r="G261" s="152"/>
      <c r="H261" s="30"/>
      <c r="I261" s="146">
        <v>105565</v>
      </c>
      <c r="J261" s="57" t="s">
        <v>252</v>
      </c>
      <c r="K261" s="67" t="s">
        <v>270</v>
      </c>
      <c r="L261" s="63"/>
      <c r="M261" s="64"/>
      <c r="N261" s="64"/>
      <c r="O261" s="63"/>
    </row>
    <row r="262" s="10" customFormat="1" ht="18" customHeight="1" spans="1:15">
      <c r="A262" s="42"/>
      <c r="B262" s="28">
        <f t="shared" si="18"/>
        <v>0</v>
      </c>
      <c r="C262" s="43"/>
      <c r="D262" s="44"/>
      <c r="E262" s="45"/>
      <c r="F262" s="28">
        <f t="shared" si="19"/>
        <v>0</v>
      </c>
      <c r="G262" s="152"/>
      <c r="H262" s="30"/>
      <c r="I262" s="146">
        <v>500</v>
      </c>
      <c r="J262" s="57" t="s">
        <v>252</v>
      </c>
      <c r="K262" s="67" t="s">
        <v>271</v>
      </c>
      <c r="L262" s="63"/>
      <c r="M262" s="64"/>
      <c r="N262" s="64"/>
      <c r="O262" s="63"/>
    </row>
    <row r="263" s="10" customFormat="1" ht="18" customHeight="1" spans="1:15">
      <c r="A263" s="42"/>
      <c r="B263" s="28">
        <f t="shared" si="18"/>
        <v>209023</v>
      </c>
      <c r="C263" s="43"/>
      <c r="D263" s="44"/>
      <c r="E263" s="45"/>
      <c r="F263" s="28">
        <f t="shared" si="19"/>
        <v>0</v>
      </c>
      <c r="G263" s="152">
        <f>72063+136960</f>
        <v>209023</v>
      </c>
      <c r="H263" s="30"/>
      <c r="I263" s="146">
        <f>G263</f>
        <v>209023</v>
      </c>
      <c r="J263" s="57" t="s">
        <v>252</v>
      </c>
      <c r="K263" s="67" t="s">
        <v>272</v>
      </c>
      <c r="L263" s="63"/>
      <c r="M263" s="64"/>
      <c r="N263" s="64"/>
      <c r="O263" s="63"/>
    </row>
    <row r="264" s="10" customFormat="1" ht="18" customHeight="1" spans="1:15">
      <c r="A264" s="42"/>
      <c r="B264" s="28">
        <f t="shared" si="18"/>
        <v>0</v>
      </c>
      <c r="C264" s="43"/>
      <c r="D264" s="44"/>
      <c r="E264" s="45"/>
      <c r="F264" s="28">
        <f t="shared" si="19"/>
        <v>0</v>
      </c>
      <c r="G264" s="152"/>
      <c r="H264" s="116"/>
      <c r="I264" s="157"/>
      <c r="J264" s="135"/>
      <c r="K264" s="67"/>
      <c r="L264" s="63"/>
      <c r="M264" s="64"/>
      <c r="N264" s="64"/>
      <c r="O264" s="63"/>
    </row>
    <row r="265" ht="18" customHeight="1" spans="1:15">
      <c r="A265" s="39" t="s">
        <v>23</v>
      </c>
      <c r="B265" s="5">
        <f t="shared" ref="B265:G265" si="20">SUM(B17:B264)</f>
        <v>16000541.84</v>
      </c>
      <c r="C265" s="39"/>
      <c r="D265" s="117"/>
      <c r="E265" s="117"/>
      <c r="F265" s="5">
        <f t="shared" si="20"/>
        <v>734263.13</v>
      </c>
      <c r="G265" s="151">
        <f t="shared" si="20"/>
        <v>16734804.97</v>
      </c>
      <c r="H265" s="118"/>
      <c r="I265" s="55">
        <f>SUM(I17:I264)</f>
        <v>15376881.1739371</v>
      </c>
      <c r="J265" s="136"/>
      <c r="K265" s="117"/>
      <c r="L265" s="41"/>
      <c r="M265" s="57"/>
      <c r="N265" s="57"/>
      <c r="O265" s="41"/>
    </row>
    <row r="266" ht="18" customHeight="1" spans="1:14">
      <c r="A266" s="119" t="s">
        <v>273</v>
      </c>
      <c r="B266" s="121">
        <f>B14*0.976</f>
        <v>15005147.1729908</v>
      </c>
      <c r="C266" s="119"/>
      <c r="D266" s="120"/>
      <c r="E266" s="120"/>
      <c r="F266" s="121"/>
      <c r="G266" s="121">
        <f>G14-G265</f>
        <v>22992.5900000036</v>
      </c>
      <c r="H266" s="1" t="s">
        <v>274</v>
      </c>
      <c r="I266" s="55">
        <f>I14-I265</f>
        <v>292.586062936112</v>
      </c>
      <c r="J266" s="19"/>
      <c r="K266" s="137" t="s">
        <v>16</v>
      </c>
      <c r="M266" s="138"/>
      <c r="N266" s="138"/>
    </row>
    <row r="267" ht="18" customHeight="1" spans="1:16">
      <c r="A267" s="119" t="s">
        <v>275</v>
      </c>
      <c r="B267" s="121">
        <f>B266-B265</f>
        <v>-995394.667009175</v>
      </c>
      <c r="C267" s="119"/>
      <c r="D267" s="120"/>
      <c r="E267" s="120"/>
      <c r="F267" s="121"/>
      <c r="G267" s="121"/>
      <c r="H267" s="122"/>
      <c r="I267" s="139"/>
      <c r="J267" s="19"/>
      <c r="K267" s="137"/>
      <c r="M267" s="138"/>
      <c r="N267" s="138"/>
      <c r="O267" s="19" t="s">
        <v>16</v>
      </c>
      <c r="P267" s="19">
        <f>I249+I259+I258+I242</f>
        <v>296739.145747716</v>
      </c>
    </row>
    <row r="268" ht="18" customHeight="1" spans="1:3">
      <c r="A268" s="14" t="s">
        <v>276</v>
      </c>
      <c r="C268" s="14"/>
    </row>
    <row r="269" ht="18" customHeight="1" spans="1:12">
      <c r="A269" s="1" t="s">
        <v>277</v>
      </c>
      <c r="B269" s="3" t="s">
        <v>278</v>
      </c>
      <c r="C269" s="41"/>
      <c r="D269" s="1" t="s">
        <v>277</v>
      </c>
      <c r="E269" s="2" t="s">
        <v>17</v>
      </c>
      <c r="F269" s="3" t="s">
        <v>278</v>
      </c>
      <c r="H269" s="3" t="s">
        <v>279</v>
      </c>
      <c r="I269" s="140" t="s">
        <v>280</v>
      </c>
      <c r="K269" s="141" t="s">
        <v>281</v>
      </c>
      <c r="L269" s="141" t="s">
        <v>282</v>
      </c>
    </row>
    <row r="270" ht="18" customHeight="1" spans="1:12">
      <c r="A270" s="41" t="s">
        <v>283</v>
      </c>
      <c r="B270" s="28">
        <f>(B266-B265)*0.25</f>
        <v>-248848.666752294</v>
      </c>
      <c r="C270" s="41"/>
      <c r="D270" s="4" t="s">
        <v>284</v>
      </c>
      <c r="E270" s="1" t="s">
        <v>285</v>
      </c>
      <c r="F270" s="5">
        <f>F14-F265</f>
        <v>341925.70412844</v>
      </c>
      <c r="H270" s="5">
        <f>F7-SUM(F17:F132)</f>
        <v>81163.3266972477</v>
      </c>
      <c r="I270" s="140">
        <f>F8-SUM(F152:F198)</f>
        <v>38488.2980733945</v>
      </c>
      <c r="K270" s="172">
        <f>F10-SUM(F199:F219)</f>
        <v>84093.3867889909</v>
      </c>
      <c r="L270" s="172">
        <f>F11-SUM(F229:F236)</f>
        <v>165829.442568807</v>
      </c>
    </row>
    <row r="271" ht="18" customHeight="1" spans="1:12">
      <c r="A271" s="41" t="s">
        <v>286</v>
      </c>
      <c r="B271" s="171" t="s">
        <v>287</v>
      </c>
      <c r="C271" s="41"/>
      <c r="D271" s="6" t="s">
        <v>288</v>
      </c>
      <c r="E271" s="7">
        <v>0.05</v>
      </c>
      <c r="F271" s="8">
        <f>(SUM(F7:F10)-SUM(F17:F219))*E271</f>
        <v>10187.2505779816</v>
      </c>
      <c r="H271" s="8">
        <f>H270*E271</f>
        <v>4058.16633486239</v>
      </c>
      <c r="I271" s="173">
        <f>I270*E271</f>
        <v>1924.41490366972</v>
      </c>
      <c r="K271" s="174">
        <f>K270*E271</f>
        <v>4204.66933944954</v>
      </c>
      <c r="L271" s="174"/>
    </row>
    <row r="272" ht="18" customHeight="1" spans="1:12">
      <c r="A272" s="41"/>
      <c r="B272" s="171"/>
      <c r="C272" s="41"/>
      <c r="D272" s="6" t="s">
        <v>288</v>
      </c>
      <c r="E272" s="7">
        <v>0.07</v>
      </c>
      <c r="F272" s="8">
        <f>(F11-SUM(F226:F236))*E272</f>
        <v>11608.0609798165</v>
      </c>
      <c r="H272" s="8"/>
      <c r="I272" s="173"/>
      <c r="K272" s="174"/>
      <c r="L272" s="174">
        <f>L270*E272</f>
        <v>11608.0609798165</v>
      </c>
    </row>
    <row r="273" ht="18" customHeight="1" spans="1:17">
      <c r="A273" s="41" t="s">
        <v>289</v>
      </c>
      <c r="B273" s="171" t="s">
        <v>287</v>
      </c>
      <c r="C273" s="41"/>
      <c r="D273" s="6" t="s">
        <v>290</v>
      </c>
      <c r="E273" s="7">
        <v>0.03</v>
      </c>
      <c r="F273" s="8">
        <f>F270*E273</f>
        <v>10257.7711238532</v>
      </c>
      <c r="H273" s="8">
        <f>H270*E273</f>
        <v>2434.89980091743</v>
      </c>
      <c r="I273" s="173">
        <f>I270*E273</f>
        <v>1154.64894220183</v>
      </c>
      <c r="K273" s="174">
        <f>K270*E273</f>
        <v>2522.80160366973</v>
      </c>
      <c r="L273" s="174">
        <f>L270*E273</f>
        <v>4974.88327706422</v>
      </c>
      <c r="Q273" s="19" t="s">
        <v>16</v>
      </c>
    </row>
    <row r="274" ht="18" customHeight="1" spans="1:12">
      <c r="A274" s="41"/>
      <c r="B274" s="8"/>
      <c r="C274" s="41"/>
      <c r="D274" s="6" t="s">
        <v>291</v>
      </c>
      <c r="E274" s="7">
        <v>0.02</v>
      </c>
      <c r="F274" s="8">
        <f>F270*E274</f>
        <v>6838.5140825688</v>
      </c>
      <c r="H274" s="8">
        <f>H270*E274</f>
        <v>1623.26653394495</v>
      </c>
      <c r="I274" s="173">
        <f>I270*E274</f>
        <v>769.76596146789</v>
      </c>
      <c r="K274" s="174">
        <f>K270*E274</f>
        <v>1681.86773577982</v>
      </c>
      <c r="L274" s="174">
        <f>L270*E274</f>
        <v>3316.58885137615</v>
      </c>
    </row>
    <row r="275" ht="18" customHeight="1" spans="1:12">
      <c r="A275" s="4" t="s">
        <v>292</v>
      </c>
      <c r="B275" s="150">
        <f>SUM(B270:B274)</f>
        <v>-248848.666752294</v>
      </c>
      <c r="C275" s="41"/>
      <c r="D275" s="9" t="s">
        <v>292</v>
      </c>
      <c r="E275" s="4"/>
      <c r="F275" s="5">
        <f t="shared" ref="F275:L275" si="21">SUM(F270:F274)</f>
        <v>380817.30089266</v>
      </c>
      <c r="H275" s="5">
        <f t="shared" si="21"/>
        <v>89279.6593669725</v>
      </c>
      <c r="I275" s="140">
        <f>SUM(I269:I274)</f>
        <v>42337.1278807339</v>
      </c>
      <c r="K275" s="172">
        <f t="shared" si="21"/>
        <v>92502.7254678899</v>
      </c>
      <c r="L275" s="172">
        <f t="shared" si="21"/>
        <v>185728.975677064</v>
      </c>
    </row>
    <row r="276" ht="18" customHeight="1" spans="3:12">
      <c r="C276" s="14"/>
      <c r="D276" s="2" t="s">
        <v>23</v>
      </c>
      <c r="E276" s="39"/>
      <c r="F276" s="151">
        <f t="shared" ref="F276:L276" si="22">F275</f>
        <v>380817.30089266</v>
      </c>
      <c r="H276" s="151">
        <f t="shared" si="22"/>
        <v>89279.6593669725</v>
      </c>
      <c r="I276" s="55"/>
      <c r="K276" s="151">
        <f t="shared" si="22"/>
        <v>92502.7254678899</v>
      </c>
      <c r="L276" s="151">
        <f t="shared" si="22"/>
        <v>185728.975677064</v>
      </c>
    </row>
    <row r="277" ht="18" customHeight="1" spans="3:12">
      <c r="C277" s="14"/>
      <c r="D277" s="39" t="s">
        <v>283</v>
      </c>
      <c r="E277" s="117">
        <v>0.006</v>
      </c>
      <c r="F277" s="151">
        <f>SUM(B7:B8)*E277+SUM(G10:G11)*E277</f>
        <v>96251.064186055</v>
      </c>
      <c r="H277" s="151">
        <f>B7*E277</f>
        <v>30849.9674311927</v>
      </c>
      <c r="I277" s="55">
        <f>B8*E277</f>
        <v>16880.2678348624</v>
      </c>
      <c r="K277" s="151">
        <f>G10*E277</f>
        <v>28443.27066</v>
      </c>
      <c r="L277" s="151">
        <f>G11*E277</f>
        <v>20077.55826</v>
      </c>
    </row>
    <row r="278" ht="18" customHeight="1" spans="3:12">
      <c r="C278" s="14"/>
      <c r="D278" s="39" t="s">
        <v>293</v>
      </c>
      <c r="E278" s="117">
        <v>0.25</v>
      </c>
      <c r="F278" s="151"/>
      <c r="G278" s="15" t="s">
        <v>294</v>
      </c>
      <c r="H278" s="151"/>
      <c r="I278" s="55"/>
      <c r="K278" s="151"/>
      <c r="L278" s="151">
        <f>B267*0.25</f>
        <v>-248848.666752294</v>
      </c>
    </row>
    <row r="279" ht="18" customHeight="1" spans="3:3">
      <c r="C279" s="14"/>
    </row>
    <row r="280" ht="18" customHeight="1" spans="3:3">
      <c r="C280" s="14"/>
    </row>
    <row r="281" spans="3:3">
      <c r="C281" s="14"/>
    </row>
    <row r="282" spans="3:3">
      <c r="C282" s="14"/>
    </row>
    <row r="283" spans="3:3">
      <c r="C283" s="14"/>
    </row>
    <row r="284" spans="3:3">
      <c r="C284" s="14"/>
    </row>
    <row r="285" spans="3:3">
      <c r="C285" s="14"/>
    </row>
    <row r="286" spans="3:3">
      <c r="C286" s="14"/>
    </row>
    <row r="287" spans="3:3">
      <c r="C287" s="14"/>
    </row>
    <row r="288" spans="3:3">
      <c r="C288" s="14"/>
    </row>
    <row r="289" spans="3:3">
      <c r="C289" s="14"/>
    </row>
    <row r="290" spans="3:3">
      <c r="C290" s="14"/>
    </row>
    <row r="291" spans="3:3">
      <c r="C291" s="14"/>
    </row>
    <row r="292" spans="3:3">
      <c r="C292" s="14"/>
    </row>
    <row r="293" spans="3:3">
      <c r="C293" s="14"/>
    </row>
    <row r="294" spans="3:3">
      <c r="C294" s="14"/>
    </row>
    <row r="295" spans="3:3">
      <c r="C295" s="14"/>
    </row>
    <row r="296" spans="3:3">
      <c r="C296" s="14"/>
    </row>
  </sheetData>
  <protectedRanges>
    <protectedRange sqref="K156:L157" name="区域1"/>
    <protectedRange sqref="I167" name="区域1_1"/>
    <protectedRange sqref="K167:L167" name="区域1_2"/>
    <protectedRange sqref="I225" name="区域1_3"/>
  </protectedRanges>
  <autoFilter ref="A16:Q278">
    <extLst/>
  </autoFilter>
  <mergeCells count="9">
    <mergeCell ref="A1:J1"/>
    <mergeCell ref="H2:J2"/>
    <mergeCell ref="C5:D5"/>
    <mergeCell ref="E5:F5"/>
    <mergeCell ref="H5:J5"/>
    <mergeCell ref="A5:A6"/>
    <mergeCell ref="B5:B6"/>
    <mergeCell ref="G5:G6"/>
    <mergeCell ref="P230:P233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3"/>
  <sheetViews>
    <sheetView tabSelected="1" topLeftCell="C249" workbookViewId="0">
      <selection activeCell="I254" sqref="I254"/>
    </sheetView>
  </sheetViews>
  <sheetFormatPr defaultColWidth="9" defaultRowHeight="11.25"/>
  <cols>
    <col min="1" max="1" width="10.75" style="14" customWidth="1"/>
    <col min="2" max="2" width="13.125" style="15" customWidth="1"/>
    <col min="3" max="3" width="6" style="16" customWidth="1"/>
    <col min="4" max="4" width="13.375" style="16" customWidth="1"/>
    <col min="5" max="5" width="10" style="16" customWidth="1"/>
    <col min="6" max="6" width="13.125" style="15" customWidth="1"/>
    <col min="7" max="7" width="17" style="15" customWidth="1"/>
    <col min="8" max="8" width="14.875" style="16" customWidth="1"/>
    <col min="9" max="9" width="13.875" style="17" customWidth="1"/>
    <col min="10" max="10" width="6.125" style="18" customWidth="1"/>
    <col min="11" max="11" width="18" style="19" customWidth="1"/>
    <col min="12" max="13" width="18.375" style="19" customWidth="1"/>
    <col min="14" max="14" width="9.75" style="19" customWidth="1"/>
    <col min="15" max="15" width="14.875" style="19" customWidth="1"/>
    <col min="16" max="16" width="9.625" style="19"/>
    <col min="17" max="16384" width="9" style="19"/>
  </cols>
  <sheetData>
    <row r="1" ht="21.95" customHeight="1" spans="1:12">
      <c r="A1" s="20" t="s">
        <v>0</v>
      </c>
      <c r="B1" s="20"/>
      <c r="C1" s="20"/>
      <c r="D1" s="20"/>
      <c r="E1" s="20"/>
      <c r="F1" s="21"/>
      <c r="G1" s="21"/>
      <c r="H1" s="20"/>
      <c r="I1" s="50"/>
      <c r="J1" s="20"/>
      <c r="K1" s="29"/>
      <c r="L1" s="29"/>
    </row>
    <row r="2" ht="18" customHeight="1" spans="1:15">
      <c r="A2" s="22" t="s">
        <v>1</v>
      </c>
      <c r="B2" s="23">
        <v>43433</v>
      </c>
      <c r="C2" s="24" t="s">
        <v>2</v>
      </c>
      <c r="D2" s="24">
        <v>20902300.43</v>
      </c>
      <c r="E2" s="7" t="s">
        <v>3</v>
      </c>
      <c r="F2" s="25"/>
      <c r="G2" s="26" t="s">
        <v>4</v>
      </c>
      <c r="H2" s="27" t="s">
        <v>5</v>
      </c>
      <c r="I2" s="51"/>
      <c r="J2" s="52"/>
      <c r="K2" s="29"/>
      <c r="L2" s="29"/>
      <c r="O2" s="53" t="s">
        <v>6</v>
      </c>
    </row>
    <row r="3" ht="18" customHeight="1" spans="1:12">
      <c r="A3" s="22" t="s">
        <v>7</v>
      </c>
      <c r="B3" s="28"/>
      <c r="C3" s="24" t="s">
        <v>8</v>
      </c>
      <c r="D3" s="24"/>
      <c r="H3" s="29"/>
      <c r="I3" s="54"/>
      <c r="J3" s="29"/>
      <c r="K3" s="29"/>
      <c r="L3" s="29"/>
    </row>
    <row r="4" ht="18" customHeight="1" spans="1:12">
      <c r="A4" s="14" t="s">
        <v>9</v>
      </c>
      <c r="H4" s="29"/>
      <c r="I4" s="54"/>
      <c r="J4" s="29"/>
      <c r="K4" s="29"/>
      <c r="L4" s="29"/>
    </row>
    <row r="5" ht="18" customHeight="1" spans="1:12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55"/>
      <c r="J5" s="1"/>
      <c r="L5" s="19" t="s">
        <v>16</v>
      </c>
    </row>
    <row r="6" ht="18" customHeight="1" spans="1:10">
      <c r="A6" s="2"/>
      <c r="B6" s="3"/>
      <c r="C6" s="2" t="s">
        <v>17</v>
      </c>
      <c r="D6" s="2" t="s">
        <v>18</v>
      </c>
      <c r="E6" s="2" t="s">
        <v>17</v>
      </c>
      <c r="F6" s="3" t="s">
        <v>18</v>
      </c>
      <c r="G6" s="3"/>
      <c r="H6" s="1" t="s">
        <v>19</v>
      </c>
      <c r="I6" s="55" t="s">
        <v>20</v>
      </c>
      <c r="J6" s="1" t="s">
        <v>21</v>
      </c>
    </row>
    <row r="7" ht="18" customHeight="1" spans="1:10">
      <c r="A7" s="30">
        <v>43662</v>
      </c>
      <c r="B7" s="24">
        <f t="shared" ref="B7:B12" si="0">G7/(1+C7+E7)</f>
        <v>5141661.23853211</v>
      </c>
      <c r="C7" s="31">
        <v>0.02</v>
      </c>
      <c r="D7" s="32">
        <f t="shared" ref="D7:D12" si="1">G7/(1+E7+C7)*C7</f>
        <v>102833.224770642</v>
      </c>
      <c r="E7" s="31">
        <v>0.07</v>
      </c>
      <c r="F7" s="24">
        <f t="shared" ref="F7:F8" si="2">G7/(1+C7+E7)*E7</f>
        <v>359916.286697248</v>
      </c>
      <c r="G7" s="33">
        <v>5604410.75</v>
      </c>
      <c r="H7" s="30">
        <v>43614</v>
      </c>
      <c r="I7" s="56">
        <v>1400000</v>
      </c>
      <c r="J7" s="57" t="s">
        <v>22</v>
      </c>
    </row>
    <row r="8" ht="18" customHeight="1" spans="1:10">
      <c r="A8" s="30">
        <v>43746</v>
      </c>
      <c r="B8" s="24">
        <f t="shared" si="0"/>
        <v>2813377.97247706</v>
      </c>
      <c r="C8" s="31">
        <v>0.02</v>
      </c>
      <c r="D8" s="32">
        <f t="shared" si="1"/>
        <v>56267.5594495413</v>
      </c>
      <c r="E8" s="31">
        <v>0.07</v>
      </c>
      <c r="F8" s="24">
        <f t="shared" si="2"/>
        <v>196936.458073394</v>
      </c>
      <c r="G8" s="33">
        <v>3066581.99</v>
      </c>
      <c r="H8" s="30">
        <v>43614</v>
      </c>
      <c r="I8" s="56">
        <v>690230.04</v>
      </c>
      <c r="J8" s="57" t="s">
        <v>22</v>
      </c>
    </row>
    <row r="9" ht="18" customHeight="1" spans="1:12">
      <c r="A9" s="30"/>
      <c r="B9" s="24">
        <f t="shared" si="0"/>
        <v>0</v>
      </c>
      <c r="C9" s="31">
        <v>0.02</v>
      </c>
      <c r="D9" s="32">
        <f t="shared" si="1"/>
        <v>0</v>
      </c>
      <c r="E9" s="31">
        <v>0.07</v>
      </c>
      <c r="F9" s="24">
        <f t="shared" ref="F9:F12" si="3">G9/(1+C9+E9)*E9</f>
        <v>0</v>
      </c>
      <c r="G9" s="33"/>
      <c r="H9" s="30">
        <v>43677</v>
      </c>
      <c r="I9" s="56">
        <v>5116057.89</v>
      </c>
      <c r="J9" s="57" t="s">
        <v>22</v>
      </c>
      <c r="L9" s="19">
        <f>I16-G16</f>
        <v>-2624131.43</v>
      </c>
    </row>
    <row r="10" ht="18" customHeight="1" spans="1:10">
      <c r="A10" s="30">
        <v>43839</v>
      </c>
      <c r="B10" s="24">
        <f t="shared" si="0"/>
        <v>4349123.95412844</v>
      </c>
      <c r="C10" s="31">
        <v>0.02</v>
      </c>
      <c r="D10" s="32">
        <f t="shared" si="1"/>
        <v>86982.4790825688</v>
      </c>
      <c r="E10" s="31">
        <v>0.07</v>
      </c>
      <c r="F10" s="24">
        <f t="shared" si="3"/>
        <v>304438.676788991</v>
      </c>
      <c r="G10" s="33">
        <v>4740545.11</v>
      </c>
      <c r="H10" s="30">
        <v>43781</v>
      </c>
      <c r="I10" s="56">
        <v>1000000</v>
      </c>
      <c r="J10" s="57" t="s">
        <v>22</v>
      </c>
    </row>
    <row r="11" ht="18" customHeight="1" spans="1:12">
      <c r="A11" s="30">
        <v>44208</v>
      </c>
      <c r="B11" s="24">
        <f t="shared" si="0"/>
        <v>3069963.03669725</v>
      </c>
      <c r="C11" s="31">
        <v>0.02</v>
      </c>
      <c r="D11" s="32">
        <f t="shared" si="1"/>
        <v>61399.260733945</v>
      </c>
      <c r="E11" s="31">
        <v>0.07</v>
      </c>
      <c r="F11" s="24">
        <f t="shared" si="3"/>
        <v>214897.412568807</v>
      </c>
      <c r="G11" s="33">
        <v>3346259.71</v>
      </c>
      <c r="H11" s="30">
        <v>43808</v>
      </c>
      <c r="I11" s="56">
        <v>1341194.91</v>
      </c>
      <c r="J11" s="57" t="s">
        <v>22</v>
      </c>
      <c r="L11" s="19" t="s">
        <v>16</v>
      </c>
    </row>
    <row r="12" ht="18" customHeight="1" spans="1:10">
      <c r="A12" s="34">
        <v>44362</v>
      </c>
      <c r="B12" s="35">
        <f t="shared" si="0"/>
        <v>2975695.0733945</v>
      </c>
      <c r="C12" s="36">
        <v>0.02</v>
      </c>
      <c r="D12" s="37">
        <f t="shared" si="1"/>
        <v>59513.9014678899</v>
      </c>
      <c r="E12" s="36">
        <v>0.07</v>
      </c>
      <c r="F12" s="35">
        <f t="shared" si="3"/>
        <v>208298.655137615</v>
      </c>
      <c r="G12" s="33">
        <v>3243507.63</v>
      </c>
      <c r="H12" s="30">
        <v>43846</v>
      </c>
      <c r="I12" s="56">
        <v>3413192.48</v>
      </c>
      <c r="J12" s="57" t="s">
        <v>22</v>
      </c>
    </row>
    <row r="13" ht="18" customHeight="1" spans="1:11">
      <c r="A13" s="30"/>
      <c r="B13" s="24"/>
      <c r="C13" s="31"/>
      <c r="D13" s="32"/>
      <c r="E13" s="31"/>
      <c r="F13" s="24"/>
      <c r="G13" s="33"/>
      <c r="H13" s="30">
        <v>44225</v>
      </c>
      <c r="I13" s="56">
        <v>2416498.44</v>
      </c>
      <c r="J13" s="57" t="s">
        <v>22</v>
      </c>
      <c r="K13" s="16">
        <f>22816.65+36697.25</f>
        <v>59513.9</v>
      </c>
    </row>
    <row r="14" ht="18" customHeight="1" spans="1:11">
      <c r="A14" s="30"/>
      <c r="B14" s="24"/>
      <c r="C14" s="31"/>
      <c r="D14" s="32"/>
      <c r="E14" s="31"/>
      <c r="F14" s="24"/>
      <c r="G14" s="33"/>
      <c r="H14" s="30">
        <v>44342</v>
      </c>
      <c r="I14" s="56">
        <v>2000000</v>
      </c>
      <c r="J14" s="57" t="s">
        <v>295</v>
      </c>
      <c r="K14" s="19">
        <f>373.1+600</f>
        <v>973.1</v>
      </c>
    </row>
    <row r="15" ht="18" customHeight="1" spans="1:10">
      <c r="A15" s="30"/>
      <c r="B15" s="24"/>
      <c r="C15" s="31"/>
      <c r="D15" s="32"/>
      <c r="E15" s="31"/>
      <c r="F15" s="24"/>
      <c r="G15" s="33"/>
      <c r="H15" s="30"/>
      <c r="I15" s="56"/>
      <c r="J15" s="57"/>
    </row>
    <row r="16" ht="18" customHeight="1" spans="1:10">
      <c r="A16" s="4" t="s">
        <v>23</v>
      </c>
      <c r="B16" s="38">
        <f>SUM(B7:B12)</f>
        <v>18349821.2752294</v>
      </c>
      <c r="C16" s="39"/>
      <c r="D16" s="39">
        <f>SUM(D7:D12)</f>
        <v>366996.425504587</v>
      </c>
      <c r="E16" s="39"/>
      <c r="F16" s="40">
        <f>SUM(F7:F12)</f>
        <v>1284487.48926605</v>
      </c>
      <c r="G16" s="39">
        <f>SUM(G7:G13)</f>
        <v>20001305.19</v>
      </c>
      <c r="H16" s="41"/>
      <c r="I16" s="58">
        <f>SUM(I7:I14)</f>
        <v>17377173.76</v>
      </c>
      <c r="J16" s="41"/>
    </row>
    <row r="17" ht="18" customHeight="1" spans="1:12">
      <c r="A17" s="14" t="s">
        <v>24</v>
      </c>
      <c r="J17" s="16"/>
      <c r="K17" s="16"/>
      <c r="L17" s="18"/>
    </row>
    <row r="18" ht="18" customHeight="1" spans="1:15">
      <c r="A18" s="9" t="s">
        <v>25</v>
      </c>
      <c r="B18" s="3" t="s">
        <v>26</v>
      </c>
      <c r="C18" s="2" t="s">
        <v>27</v>
      </c>
      <c r="D18" s="2" t="s">
        <v>28</v>
      </c>
      <c r="E18" s="2" t="s">
        <v>17</v>
      </c>
      <c r="F18" s="3" t="s">
        <v>29</v>
      </c>
      <c r="G18" s="3" t="s">
        <v>14</v>
      </c>
      <c r="H18" s="2" t="s">
        <v>30</v>
      </c>
      <c r="I18" s="55" t="s">
        <v>31</v>
      </c>
      <c r="J18" s="2" t="s">
        <v>21</v>
      </c>
      <c r="K18" s="59" t="s">
        <v>32</v>
      </c>
      <c r="L18" s="1" t="s">
        <v>33</v>
      </c>
      <c r="M18" s="1" t="s">
        <v>34</v>
      </c>
      <c r="N18" s="1" t="s">
        <v>35</v>
      </c>
      <c r="O18" s="1" t="s">
        <v>36</v>
      </c>
    </row>
    <row r="19" s="10" customFormat="1" ht="18" customHeight="1" spans="1:15">
      <c r="A19" s="42">
        <v>43552</v>
      </c>
      <c r="B19" s="35">
        <f t="shared" ref="B19:B30" si="4">ROUND(G19/(1+E19),2)</f>
        <v>39438.68</v>
      </c>
      <c r="C19" s="43"/>
      <c r="D19" s="44" t="s">
        <v>37</v>
      </c>
      <c r="E19" s="45">
        <v>0.06</v>
      </c>
      <c r="F19" s="35">
        <f t="shared" ref="F19:F30" si="5">ROUND(G19/(1+E19)*E19,2)</f>
        <v>2366.32</v>
      </c>
      <c r="G19" s="33">
        <v>41805</v>
      </c>
      <c r="H19" s="46"/>
      <c r="I19" s="60"/>
      <c r="J19" s="61"/>
      <c r="K19" s="62" t="s">
        <v>38</v>
      </c>
      <c r="L19" s="63" t="s">
        <v>39</v>
      </c>
      <c r="M19" s="64"/>
      <c r="N19" s="64"/>
      <c r="O19" s="63"/>
    </row>
    <row r="20" s="10" customFormat="1" ht="18" customHeight="1" spans="1:15">
      <c r="A20" s="42"/>
      <c r="B20" s="35">
        <f t="shared" si="4"/>
        <v>0</v>
      </c>
      <c r="C20" s="43"/>
      <c r="D20" s="44"/>
      <c r="E20" s="45"/>
      <c r="F20" s="35">
        <f t="shared" si="5"/>
        <v>0</v>
      </c>
      <c r="G20" s="47"/>
      <c r="H20" s="48" t="s">
        <v>40</v>
      </c>
      <c r="I20" s="65">
        <v>62707</v>
      </c>
      <c r="J20" s="66" t="s">
        <v>22</v>
      </c>
      <c r="K20" s="67" t="s">
        <v>41</v>
      </c>
      <c r="L20" s="63"/>
      <c r="M20" s="64"/>
      <c r="N20" s="64"/>
      <c r="O20" s="63"/>
    </row>
    <row r="21" s="10" customFormat="1" ht="18" customHeight="1" spans="1:15">
      <c r="A21" s="42"/>
      <c r="B21" s="35"/>
      <c r="C21" s="43"/>
      <c r="D21" s="44"/>
      <c r="E21" s="45"/>
      <c r="F21" s="35"/>
      <c r="G21" s="47"/>
      <c r="H21" s="48" t="s">
        <v>40</v>
      </c>
      <c r="I21" s="65">
        <v>-62707</v>
      </c>
      <c r="J21" s="66" t="s">
        <v>42</v>
      </c>
      <c r="K21" s="67" t="s">
        <v>43</v>
      </c>
      <c r="L21" s="63"/>
      <c r="M21" s="64"/>
      <c r="N21" s="64"/>
      <c r="O21" s="63"/>
    </row>
    <row r="22" s="10" customFormat="1" ht="18" customHeight="1" spans="1:15">
      <c r="A22" s="42">
        <v>43556</v>
      </c>
      <c r="B22" s="35">
        <f t="shared" ref="B22" si="6">ROUND(G22/(1+E22),2)</f>
        <v>108738.68</v>
      </c>
      <c r="C22" s="43"/>
      <c r="D22" s="44" t="s">
        <v>37</v>
      </c>
      <c r="E22" s="45">
        <v>0.06</v>
      </c>
      <c r="F22" s="35">
        <f t="shared" ref="F22" si="7">ROUND(G22/(1+E22)*E22,2)</f>
        <v>6524.32</v>
      </c>
      <c r="G22" s="47">
        <f>62707+49581.13+2974.87</f>
        <v>115263</v>
      </c>
      <c r="H22" s="48" t="s">
        <v>40</v>
      </c>
      <c r="I22" s="65">
        <v>52556</v>
      </c>
      <c r="J22" s="66" t="s">
        <v>22</v>
      </c>
      <c r="K22" s="67" t="s">
        <v>44</v>
      </c>
      <c r="L22" s="63" t="s">
        <v>45</v>
      </c>
      <c r="M22" s="64"/>
      <c r="N22" s="64"/>
      <c r="O22" s="63"/>
    </row>
    <row r="23" s="10" customFormat="1" ht="18" customHeight="1" spans="1:15">
      <c r="A23" s="42"/>
      <c r="B23" s="35"/>
      <c r="C23" s="43"/>
      <c r="D23" s="44"/>
      <c r="E23" s="45"/>
      <c r="F23" s="35"/>
      <c r="G23" s="47"/>
      <c r="H23" s="48" t="s">
        <v>40</v>
      </c>
      <c r="I23" s="65">
        <v>-52556</v>
      </c>
      <c r="J23" s="66" t="s">
        <v>42</v>
      </c>
      <c r="K23" s="67" t="s">
        <v>43</v>
      </c>
      <c r="L23" s="63"/>
      <c r="M23" s="64"/>
      <c r="N23" s="64"/>
      <c r="O23" s="63"/>
    </row>
    <row r="24" s="10" customFormat="1" ht="18" customHeight="1" spans="1:15">
      <c r="A24" s="42">
        <v>43556</v>
      </c>
      <c r="B24" s="35">
        <f t="shared" si="4"/>
        <v>27796.55</v>
      </c>
      <c r="C24" s="43"/>
      <c r="D24" s="44" t="s">
        <v>37</v>
      </c>
      <c r="E24" s="45">
        <v>0.16</v>
      </c>
      <c r="F24" s="35">
        <f t="shared" si="5"/>
        <v>4447.45</v>
      </c>
      <c r="G24" s="47">
        <f>22244+10000</f>
        <v>32244</v>
      </c>
      <c r="H24" s="48" t="s">
        <v>40</v>
      </c>
      <c r="I24" s="65">
        <v>89600</v>
      </c>
      <c r="J24" s="66" t="s">
        <v>22</v>
      </c>
      <c r="K24" s="67" t="s">
        <v>46</v>
      </c>
      <c r="L24" s="63" t="s">
        <v>47</v>
      </c>
      <c r="M24" s="64"/>
      <c r="N24" s="64"/>
      <c r="O24" s="63"/>
    </row>
    <row r="25" s="10" customFormat="1" ht="18" customHeight="1" spans="1:15">
      <c r="A25" s="42"/>
      <c r="B25" s="35"/>
      <c r="C25" s="43"/>
      <c r="D25" s="44"/>
      <c r="E25" s="45"/>
      <c r="F25" s="35"/>
      <c r="G25" s="47"/>
      <c r="H25" s="48" t="s">
        <v>40</v>
      </c>
      <c r="I25" s="65">
        <v>-89600</v>
      </c>
      <c r="J25" s="66" t="s">
        <v>42</v>
      </c>
      <c r="K25" s="67" t="s">
        <v>43</v>
      </c>
      <c r="L25" s="63"/>
      <c r="M25" s="64"/>
      <c r="N25" s="64"/>
      <c r="O25" s="63"/>
    </row>
    <row r="26" s="10" customFormat="1" ht="18" customHeight="1" spans="1:15">
      <c r="A26" s="42">
        <v>43556</v>
      </c>
      <c r="B26" s="35">
        <f t="shared" si="4"/>
        <v>153275.86</v>
      </c>
      <c r="C26" s="43"/>
      <c r="D26" s="44" t="s">
        <v>37</v>
      </c>
      <c r="E26" s="45">
        <v>0.16</v>
      </c>
      <c r="F26" s="35">
        <f t="shared" si="5"/>
        <v>24524.14</v>
      </c>
      <c r="G26" s="47">
        <f>77241.38+12358.62+88200</f>
        <v>177800</v>
      </c>
      <c r="H26" s="48" t="s">
        <v>48</v>
      </c>
      <c r="I26" s="65">
        <v>88200</v>
      </c>
      <c r="J26" s="66" t="s">
        <v>22</v>
      </c>
      <c r="K26" s="67" t="s">
        <v>46</v>
      </c>
      <c r="L26" s="63" t="s">
        <v>49</v>
      </c>
      <c r="M26" s="64"/>
      <c r="N26" s="64"/>
      <c r="O26" s="63"/>
    </row>
    <row r="27" s="10" customFormat="1" ht="18" customHeight="1" spans="1:15">
      <c r="A27" s="42"/>
      <c r="B27" s="35"/>
      <c r="C27" s="43"/>
      <c r="D27" s="44"/>
      <c r="E27" s="45"/>
      <c r="F27" s="35"/>
      <c r="G27" s="47"/>
      <c r="H27" s="48" t="s">
        <v>48</v>
      </c>
      <c r="I27" s="65">
        <v>-88200</v>
      </c>
      <c r="J27" s="66" t="s">
        <v>42</v>
      </c>
      <c r="K27" s="67" t="s">
        <v>43</v>
      </c>
      <c r="L27" s="63"/>
      <c r="M27" s="64"/>
      <c r="N27" s="64"/>
      <c r="O27" s="63"/>
    </row>
    <row r="28" s="10" customFormat="1" ht="18" customHeight="1" spans="1:15">
      <c r="A28" s="42">
        <v>43556</v>
      </c>
      <c r="B28" s="35">
        <f t="shared" si="4"/>
        <v>21238.94</v>
      </c>
      <c r="C28" s="43"/>
      <c r="D28" s="44" t="s">
        <v>37</v>
      </c>
      <c r="E28" s="45">
        <v>0.13</v>
      </c>
      <c r="F28" s="35">
        <f t="shared" si="5"/>
        <v>2761.06</v>
      </c>
      <c r="G28" s="47">
        <f>8000*3</f>
        <v>24000</v>
      </c>
      <c r="H28" s="48" t="s">
        <v>48</v>
      </c>
      <c r="I28" s="65">
        <v>90300</v>
      </c>
      <c r="J28" s="66" t="s">
        <v>22</v>
      </c>
      <c r="K28" s="67" t="s">
        <v>46</v>
      </c>
      <c r="L28" s="63" t="s">
        <v>50</v>
      </c>
      <c r="M28" s="64"/>
      <c r="N28" s="64"/>
      <c r="O28" s="63"/>
    </row>
    <row r="29" s="10" customFormat="1" ht="18" customHeight="1" spans="1:15">
      <c r="A29" s="42"/>
      <c r="B29" s="35"/>
      <c r="C29" s="43"/>
      <c r="D29" s="44"/>
      <c r="E29" s="45"/>
      <c r="F29" s="35"/>
      <c r="G29" s="47"/>
      <c r="H29" s="48" t="s">
        <v>48</v>
      </c>
      <c r="I29" s="65">
        <v>-90300</v>
      </c>
      <c r="J29" s="66" t="s">
        <v>42</v>
      </c>
      <c r="K29" s="67" t="s">
        <v>43</v>
      </c>
      <c r="L29" s="63"/>
      <c r="M29" s="64"/>
      <c r="N29" s="64"/>
      <c r="O29" s="63"/>
    </row>
    <row r="30" s="10" customFormat="1" ht="18" customHeight="1" spans="1:15">
      <c r="A30" s="42"/>
      <c r="B30" s="35">
        <f t="shared" si="4"/>
        <v>0</v>
      </c>
      <c r="C30" s="43"/>
      <c r="D30" s="44"/>
      <c r="E30" s="45"/>
      <c r="F30" s="35">
        <f t="shared" si="5"/>
        <v>0</v>
      </c>
      <c r="G30" s="47"/>
      <c r="H30" s="48" t="s">
        <v>48</v>
      </c>
      <c r="I30" s="65">
        <v>59678</v>
      </c>
      <c r="J30" s="66" t="s">
        <v>22</v>
      </c>
      <c r="K30" s="67" t="s">
        <v>51</v>
      </c>
      <c r="L30" s="63"/>
      <c r="M30" s="64"/>
      <c r="N30" s="64"/>
      <c r="O30" s="63"/>
    </row>
    <row r="31" s="10" customFormat="1" ht="18" customHeight="1" spans="1:15">
      <c r="A31" s="42"/>
      <c r="B31" s="35"/>
      <c r="C31" s="43"/>
      <c r="D31" s="44"/>
      <c r="E31" s="45"/>
      <c r="F31" s="35"/>
      <c r="G31" s="47"/>
      <c r="H31" s="48" t="s">
        <v>48</v>
      </c>
      <c r="I31" s="65">
        <v>-59678</v>
      </c>
      <c r="J31" s="66" t="s">
        <v>42</v>
      </c>
      <c r="K31" s="67" t="s">
        <v>43</v>
      </c>
      <c r="L31" s="63"/>
      <c r="M31" s="64"/>
      <c r="N31" s="64"/>
      <c r="O31" s="63"/>
    </row>
    <row r="32" s="10" customFormat="1" ht="18" customHeight="1" spans="1:15">
      <c r="A32" s="42"/>
      <c r="B32" s="35">
        <f t="shared" ref="B32:B36" si="8">ROUND(G32/(1+E32),2)</f>
        <v>0</v>
      </c>
      <c r="C32" s="43"/>
      <c r="D32" s="44"/>
      <c r="E32" s="45"/>
      <c r="F32" s="35">
        <f t="shared" ref="F32:F36" si="9">ROUND(G32/(1+E32)*E32,2)</f>
        <v>0</v>
      </c>
      <c r="G32" s="47"/>
      <c r="H32" s="48" t="s">
        <v>48</v>
      </c>
      <c r="I32" s="65">
        <v>73266.59</v>
      </c>
      <c r="J32" s="66" t="s">
        <v>22</v>
      </c>
      <c r="K32" s="67" t="s">
        <v>52</v>
      </c>
      <c r="L32" s="63"/>
      <c r="M32" s="64"/>
      <c r="N32" s="64"/>
      <c r="O32" s="63"/>
    </row>
    <row r="33" s="10" customFormat="1" ht="18" customHeight="1" spans="1:15">
      <c r="A33" s="42"/>
      <c r="B33" s="35"/>
      <c r="C33" s="43"/>
      <c r="D33" s="44"/>
      <c r="E33" s="45"/>
      <c r="F33" s="35"/>
      <c r="G33" s="47"/>
      <c r="H33" s="48" t="s">
        <v>48</v>
      </c>
      <c r="I33" s="65">
        <v>-73266.59</v>
      </c>
      <c r="J33" s="66" t="s">
        <v>42</v>
      </c>
      <c r="K33" s="67" t="s">
        <v>43</v>
      </c>
      <c r="L33" s="63"/>
      <c r="M33" s="64"/>
      <c r="N33" s="64"/>
      <c r="O33" s="63"/>
    </row>
    <row r="34" s="10" customFormat="1" ht="18" customHeight="1" spans="1:15">
      <c r="A34" s="42"/>
      <c r="B34" s="35">
        <f t="shared" si="8"/>
        <v>0</v>
      </c>
      <c r="C34" s="43"/>
      <c r="D34" s="44"/>
      <c r="E34" s="45"/>
      <c r="F34" s="35">
        <f t="shared" si="9"/>
        <v>0</v>
      </c>
      <c r="G34" s="47"/>
      <c r="H34" s="48" t="s">
        <v>48</v>
      </c>
      <c r="I34" s="65">
        <v>-51280</v>
      </c>
      <c r="J34" s="66" t="s">
        <v>42</v>
      </c>
      <c r="K34" s="67" t="s">
        <v>43</v>
      </c>
      <c r="L34" s="63"/>
      <c r="M34" s="64"/>
      <c r="N34" s="64"/>
      <c r="O34" s="63"/>
    </row>
    <row r="35" s="10" customFormat="1" ht="18" customHeight="1" spans="1:15">
      <c r="A35" s="42">
        <v>43647</v>
      </c>
      <c r="B35" s="35">
        <f t="shared" si="8"/>
        <v>34676</v>
      </c>
      <c r="C35" s="43"/>
      <c r="D35" s="44" t="s">
        <v>53</v>
      </c>
      <c r="E35" s="45"/>
      <c r="F35" s="35">
        <f t="shared" si="9"/>
        <v>0</v>
      </c>
      <c r="G35" s="47">
        <v>34676</v>
      </c>
      <c r="H35" s="48" t="s">
        <v>48</v>
      </c>
      <c r="I35" s="65">
        <v>51280</v>
      </c>
      <c r="J35" s="66" t="s">
        <v>22</v>
      </c>
      <c r="K35" s="67" t="s">
        <v>51</v>
      </c>
      <c r="L35" s="63"/>
      <c r="M35" s="64"/>
      <c r="N35" s="64"/>
      <c r="O35" s="63"/>
    </row>
    <row r="36" s="10" customFormat="1" ht="18" customHeight="1" spans="1:15">
      <c r="A36" s="42">
        <v>43556</v>
      </c>
      <c r="B36" s="35">
        <f t="shared" si="8"/>
        <v>79911.5</v>
      </c>
      <c r="C36" s="43"/>
      <c r="D36" s="44" t="s">
        <v>37</v>
      </c>
      <c r="E36" s="45">
        <v>0.13</v>
      </c>
      <c r="F36" s="35">
        <f t="shared" si="9"/>
        <v>10388.5</v>
      </c>
      <c r="G36" s="47">
        <v>90300</v>
      </c>
      <c r="H36" s="48" t="s">
        <v>54</v>
      </c>
      <c r="I36" s="65">
        <v>100800</v>
      </c>
      <c r="J36" s="68" t="s">
        <v>22</v>
      </c>
      <c r="K36" s="67" t="s">
        <v>46</v>
      </c>
      <c r="L36" s="63" t="s">
        <v>47</v>
      </c>
      <c r="M36" s="64"/>
      <c r="N36" s="64"/>
      <c r="O36" s="63"/>
    </row>
    <row r="37" s="10" customFormat="1" ht="18" customHeight="1" spans="1:15">
      <c r="A37" s="42"/>
      <c r="B37" s="35"/>
      <c r="C37" s="43"/>
      <c r="D37" s="44"/>
      <c r="E37" s="45"/>
      <c r="F37" s="35"/>
      <c r="G37" s="47"/>
      <c r="H37" s="48" t="s">
        <v>54</v>
      </c>
      <c r="I37" s="65">
        <v>-100800</v>
      </c>
      <c r="J37" s="66" t="s">
        <v>42</v>
      </c>
      <c r="K37" s="67" t="s">
        <v>43</v>
      </c>
      <c r="L37" s="63"/>
      <c r="M37" s="64"/>
      <c r="N37" s="64"/>
      <c r="O37" s="63"/>
    </row>
    <row r="38" s="10" customFormat="1" ht="18" customHeight="1" spans="1:15">
      <c r="A38" s="42">
        <v>43647</v>
      </c>
      <c r="B38" s="35">
        <f t="shared" ref="B38:B46" si="10">ROUND(G38/(1+E38),2)</f>
        <v>60093.2</v>
      </c>
      <c r="C38" s="43"/>
      <c r="D38" s="44" t="s">
        <v>37</v>
      </c>
      <c r="E38" s="45">
        <v>0.03</v>
      </c>
      <c r="F38" s="35">
        <f t="shared" ref="F38:F46" si="11">ROUND(G38/(1+E38)*E38,2)</f>
        <v>1802.8</v>
      </c>
      <c r="G38" s="47">
        <f>11512+27196+23188</f>
        <v>61896</v>
      </c>
      <c r="H38" s="48" t="s">
        <v>54</v>
      </c>
      <c r="I38" s="65">
        <v>54956</v>
      </c>
      <c r="J38" s="68" t="s">
        <v>22</v>
      </c>
      <c r="K38" s="67" t="s">
        <v>51</v>
      </c>
      <c r="L38" s="63" t="s">
        <v>55</v>
      </c>
      <c r="M38" s="64"/>
      <c r="N38" s="64"/>
      <c r="O38" s="63"/>
    </row>
    <row r="39" s="10" customFormat="1" ht="18" customHeight="1" spans="1:15">
      <c r="A39" s="42"/>
      <c r="B39" s="35"/>
      <c r="C39" s="43"/>
      <c r="D39" s="44"/>
      <c r="E39" s="45"/>
      <c r="F39" s="35"/>
      <c r="G39" s="47"/>
      <c r="H39" s="48" t="s">
        <v>54</v>
      </c>
      <c r="I39" s="65">
        <v>-54956</v>
      </c>
      <c r="J39" s="66" t="s">
        <v>42</v>
      </c>
      <c r="K39" s="67" t="s">
        <v>43</v>
      </c>
      <c r="L39" s="63"/>
      <c r="M39" s="64"/>
      <c r="N39" s="64"/>
      <c r="O39" s="63"/>
    </row>
    <row r="40" s="10" customFormat="1" ht="18" customHeight="1" spans="1:15">
      <c r="A40" s="42">
        <v>43617</v>
      </c>
      <c r="B40" s="35">
        <f t="shared" si="10"/>
        <v>178407.08</v>
      </c>
      <c r="C40" s="43"/>
      <c r="D40" s="44" t="s">
        <v>37</v>
      </c>
      <c r="E40" s="45">
        <v>0.13</v>
      </c>
      <c r="F40" s="35">
        <f t="shared" si="11"/>
        <v>23192.92</v>
      </c>
      <c r="G40" s="47">
        <f>80000+60000+61600</f>
        <v>201600</v>
      </c>
      <c r="H40" s="48" t="s">
        <v>54</v>
      </c>
      <c r="I40" s="65">
        <v>100800</v>
      </c>
      <c r="J40" s="68" t="s">
        <v>22</v>
      </c>
      <c r="K40" s="67" t="s">
        <v>46</v>
      </c>
      <c r="L40" s="63" t="s">
        <v>56</v>
      </c>
      <c r="M40" s="64"/>
      <c r="N40" s="64"/>
      <c r="O40" s="63"/>
    </row>
    <row r="41" s="10" customFormat="1" ht="18" customHeight="1" spans="1:15">
      <c r="A41" s="42"/>
      <c r="B41" s="35"/>
      <c r="C41" s="43"/>
      <c r="D41" s="44"/>
      <c r="E41" s="45"/>
      <c r="F41" s="35"/>
      <c r="G41" s="47"/>
      <c r="H41" s="48" t="s">
        <v>54</v>
      </c>
      <c r="I41" s="65">
        <v>-100800</v>
      </c>
      <c r="J41" s="66" t="s">
        <v>42</v>
      </c>
      <c r="K41" s="67" t="s">
        <v>43</v>
      </c>
      <c r="L41" s="63"/>
      <c r="M41" s="64"/>
      <c r="N41" s="64"/>
      <c r="O41" s="63"/>
    </row>
    <row r="42" s="10" customFormat="1" ht="18" customHeight="1" spans="1:15">
      <c r="A42" s="42">
        <v>43556</v>
      </c>
      <c r="B42" s="35">
        <f t="shared" si="10"/>
        <v>2211.61</v>
      </c>
      <c r="C42" s="43"/>
      <c r="D42" s="44" t="s">
        <v>37</v>
      </c>
      <c r="E42" s="45">
        <v>0.16</v>
      </c>
      <c r="F42" s="35">
        <f t="shared" si="11"/>
        <v>353.86</v>
      </c>
      <c r="G42" s="47">
        <f>2094.67+470.8</f>
        <v>2565.47</v>
      </c>
      <c r="H42" s="49"/>
      <c r="I42" s="69"/>
      <c r="J42" s="70"/>
      <c r="K42" s="62" t="s">
        <v>57</v>
      </c>
      <c r="L42" s="63" t="s">
        <v>58</v>
      </c>
      <c r="M42" s="64"/>
      <c r="N42" s="64"/>
      <c r="O42" s="63"/>
    </row>
    <row r="43" s="10" customFormat="1" ht="18" customHeight="1" spans="1:15">
      <c r="A43" s="42">
        <v>43556</v>
      </c>
      <c r="B43" s="35">
        <f t="shared" si="10"/>
        <v>2000</v>
      </c>
      <c r="C43" s="43"/>
      <c r="D43" s="44" t="s">
        <v>53</v>
      </c>
      <c r="E43" s="45"/>
      <c r="F43" s="35">
        <f t="shared" si="11"/>
        <v>0</v>
      </c>
      <c r="G43" s="47">
        <v>2000</v>
      </c>
      <c r="H43" s="34"/>
      <c r="I43" s="71"/>
      <c r="J43" s="72"/>
      <c r="K43" s="62" t="s">
        <v>59</v>
      </c>
      <c r="L43" s="63" t="s">
        <v>60</v>
      </c>
      <c r="M43" s="64"/>
      <c r="N43" s="64"/>
      <c r="O43" s="63"/>
    </row>
    <row r="44" s="10" customFormat="1" ht="18" customHeight="1" spans="1:15">
      <c r="A44" s="42">
        <v>43556</v>
      </c>
      <c r="B44" s="35">
        <f t="shared" si="10"/>
        <v>8087</v>
      </c>
      <c r="C44" s="43"/>
      <c r="D44" s="44" t="s">
        <v>53</v>
      </c>
      <c r="E44" s="45"/>
      <c r="F44" s="35">
        <f t="shared" si="11"/>
        <v>0</v>
      </c>
      <c r="G44" s="47">
        <f>220+460+295+310+420+410+530+320+430+567+430+450+340+500+455+450+355+375+410+360</f>
        <v>8087</v>
      </c>
      <c r="H44" s="34"/>
      <c r="I44" s="71"/>
      <c r="J44" s="72"/>
      <c r="K44" s="62" t="s">
        <v>61</v>
      </c>
      <c r="L44" s="63" t="s">
        <v>62</v>
      </c>
      <c r="M44" s="64"/>
      <c r="N44" s="64"/>
      <c r="O44" s="63"/>
    </row>
    <row r="45" s="10" customFormat="1" ht="18" customHeight="1" spans="1:15">
      <c r="A45" s="42">
        <v>43556</v>
      </c>
      <c r="B45" s="35">
        <f t="shared" si="10"/>
        <v>458</v>
      </c>
      <c r="C45" s="43"/>
      <c r="D45" s="44" t="s">
        <v>53</v>
      </c>
      <c r="E45" s="45"/>
      <c r="F45" s="35">
        <f t="shared" si="11"/>
        <v>0</v>
      </c>
      <c r="G45" s="47">
        <f>290+168</f>
        <v>458</v>
      </c>
      <c r="H45" s="34"/>
      <c r="I45" s="71"/>
      <c r="J45" s="72"/>
      <c r="K45" s="62" t="s">
        <v>63</v>
      </c>
      <c r="L45" s="63" t="s">
        <v>47</v>
      </c>
      <c r="M45" s="64"/>
      <c r="N45" s="64"/>
      <c r="O45" s="63"/>
    </row>
    <row r="46" s="10" customFormat="1" ht="18" customHeight="1" spans="1:15">
      <c r="A46" s="42">
        <v>43556</v>
      </c>
      <c r="B46" s="35">
        <f t="shared" si="10"/>
        <v>36215</v>
      </c>
      <c r="C46" s="43"/>
      <c r="D46" s="44" t="s">
        <v>53</v>
      </c>
      <c r="E46" s="45"/>
      <c r="F46" s="35">
        <f t="shared" si="11"/>
        <v>0</v>
      </c>
      <c r="G46" s="47">
        <v>36215</v>
      </c>
      <c r="H46" s="34"/>
      <c r="I46" s="71"/>
      <c r="J46" s="72"/>
      <c r="K46" s="62" t="s">
        <v>64</v>
      </c>
      <c r="L46" s="63" t="s">
        <v>65</v>
      </c>
      <c r="M46" s="64"/>
      <c r="N46" s="64"/>
      <c r="O46" s="63"/>
    </row>
    <row r="47" s="10" customFormat="1" ht="18" customHeight="1" spans="1:15">
      <c r="A47" s="42">
        <v>43556</v>
      </c>
      <c r="B47" s="35">
        <f t="shared" ref="B47:B153" si="12">ROUND(G47/(1+E47),2)</f>
        <v>880</v>
      </c>
      <c r="C47" s="43"/>
      <c r="D47" s="44" t="s">
        <v>37</v>
      </c>
      <c r="E47" s="45">
        <v>0.06</v>
      </c>
      <c r="F47" s="35">
        <f t="shared" ref="F47:F153" si="13">ROUND(G47/(1+E47)*E47,2)</f>
        <v>52.8</v>
      </c>
      <c r="G47" s="47">
        <v>932.8</v>
      </c>
      <c r="H47" s="34"/>
      <c r="I47" s="71"/>
      <c r="J47" s="72"/>
      <c r="K47" s="62" t="s">
        <v>66</v>
      </c>
      <c r="L47" s="63" t="s">
        <v>67</v>
      </c>
      <c r="M47" s="64"/>
      <c r="N47" s="64"/>
      <c r="O47" s="63"/>
    </row>
    <row r="48" s="10" customFormat="1" ht="18" customHeight="1" spans="1:15">
      <c r="A48" s="42">
        <v>43556</v>
      </c>
      <c r="B48" s="35">
        <f t="shared" si="12"/>
        <v>3500</v>
      </c>
      <c r="C48" s="43"/>
      <c r="D48" s="44" t="s">
        <v>53</v>
      </c>
      <c r="E48" s="45"/>
      <c r="F48" s="35">
        <f t="shared" si="13"/>
        <v>0</v>
      </c>
      <c r="G48" s="47">
        <v>3500</v>
      </c>
      <c r="H48" s="34"/>
      <c r="I48" s="71"/>
      <c r="J48" s="72"/>
      <c r="K48" s="62" t="s">
        <v>68</v>
      </c>
      <c r="L48" s="63" t="s">
        <v>69</v>
      </c>
      <c r="M48" s="64"/>
      <c r="N48" s="64"/>
      <c r="O48" s="63"/>
    </row>
    <row r="49" s="10" customFormat="1" ht="18" customHeight="1" spans="1:15">
      <c r="A49" s="42">
        <v>43556</v>
      </c>
      <c r="B49" s="35">
        <f t="shared" si="12"/>
        <v>1850</v>
      </c>
      <c r="C49" s="43"/>
      <c r="D49" s="44" t="s">
        <v>53</v>
      </c>
      <c r="E49" s="45"/>
      <c r="F49" s="35">
        <f t="shared" si="13"/>
        <v>0</v>
      </c>
      <c r="G49" s="47">
        <v>1850</v>
      </c>
      <c r="H49" s="34"/>
      <c r="I49" s="71"/>
      <c r="J49" s="72"/>
      <c r="K49" s="62" t="s">
        <v>70</v>
      </c>
      <c r="L49" s="63" t="s">
        <v>71</v>
      </c>
      <c r="M49" s="64"/>
      <c r="N49" s="64"/>
      <c r="O49" s="63"/>
    </row>
    <row r="50" s="10" customFormat="1" ht="18" customHeight="1" spans="1:15">
      <c r="A50" s="42">
        <v>43556</v>
      </c>
      <c r="B50" s="35">
        <f t="shared" si="12"/>
        <v>1000</v>
      </c>
      <c r="C50" s="43"/>
      <c r="D50" s="44" t="s">
        <v>53</v>
      </c>
      <c r="E50" s="45"/>
      <c r="F50" s="35">
        <f t="shared" si="13"/>
        <v>0</v>
      </c>
      <c r="G50" s="47">
        <v>1000</v>
      </c>
      <c r="H50" s="34"/>
      <c r="I50" s="71"/>
      <c r="J50" s="72"/>
      <c r="K50" s="62" t="s">
        <v>72</v>
      </c>
      <c r="L50" s="63" t="s">
        <v>73</v>
      </c>
      <c r="M50" s="64"/>
      <c r="N50" s="64"/>
      <c r="O50" s="63"/>
    </row>
    <row r="51" s="10" customFormat="1" ht="18" customHeight="1" spans="1:15">
      <c r="A51" s="42">
        <v>43556</v>
      </c>
      <c r="B51" s="35">
        <f t="shared" si="12"/>
        <v>9300</v>
      </c>
      <c r="C51" s="43"/>
      <c r="D51" s="44" t="s">
        <v>53</v>
      </c>
      <c r="E51" s="45"/>
      <c r="F51" s="35">
        <f t="shared" si="13"/>
        <v>0</v>
      </c>
      <c r="G51" s="47">
        <v>9300</v>
      </c>
      <c r="H51" s="34"/>
      <c r="I51" s="71"/>
      <c r="J51" s="72"/>
      <c r="K51" s="62" t="s">
        <v>74</v>
      </c>
      <c r="L51" s="63" t="s">
        <v>75</v>
      </c>
      <c r="M51" s="64"/>
      <c r="N51" s="64"/>
      <c r="O51" s="63"/>
    </row>
    <row r="52" s="10" customFormat="1" ht="18" customHeight="1" spans="1:15">
      <c r="A52" s="42">
        <v>43556</v>
      </c>
      <c r="B52" s="35">
        <f t="shared" si="12"/>
        <v>1400</v>
      </c>
      <c r="C52" s="43"/>
      <c r="D52" s="44" t="s">
        <v>53</v>
      </c>
      <c r="E52" s="45"/>
      <c r="F52" s="35">
        <f t="shared" si="13"/>
        <v>0</v>
      </c>
      <c r="G52" s="47">
        <v>1400</v>
      </c>
      <c r="H52" s="34"/>
      <c r="I52" s="71"/>
      <c r="J52" s="72"/>
      <c r="K52" s="62" t="s">
        <v>76</v>
      </c>
      <c r="L52" s="63" t="s">
        <v>77</v>
      </c>
      <c r="M52" s="64"/>
      <c r="N52" s="64"/>
      <c r="O52" s="63"/>
    </row>
    <row r="53" s="10" customFormat="1" ht="18" customHeight="1" spans="1:15">
      <c r="A53" s="42">
        <v>43556</v>
      </c>
      <c r="B53" s="35">
        <f t="shared" si="12"/>
        <v>965</v>
      </c>
      <c r="C53" s="43"/>
      <c r="D53" s="44" t="s">
        <v>53</v>
      </c>
      <c r="E53" s="45"/>
      <c r="F53" s="35">
        <f t="shared" si="13"/>
        <v>0</v>
      </c>
      <c r="G53" s="47">
        <v>965</v>
      </c>
      <c r="H53" s="34"/>
      <c r="I53" s="71"/>
      <c r="J53" s="72"/>
      <c r="K53" s="62" t="s">
        <v>78</v>
      </c>
      <c r="L53" s="63" t="s">
        <v>79</v>
      </c>
      <c r="M53" s="64"/>
      <c r="N53" s="64"/>
      <c r="O53" s="63"/>
    </row>
    <row r="54" s="10" customFormat="1" ht="18" customHeight="1" spans="1:15">
      <c r="A54" s="42">
        <v>43556</v>
      </c>
      <c r="B54" s="35">
        <f t="shared" si="12"/>
        <v>207</v>
      </c>
      <c r="C54" s="43"/>
      <c r="D54" s="44" t="s">
        <v>53</v>
      </c>
      <c r="E54" s="45"/>
      <c r="F54" s="35">
        <f t="shared" si="13"/>
        <v>0</v>
      </c>
      <c r="G54" s="47">
        <v>207</v>
      </c>
      <c r="H54" s="34"/>
      <c r="I54" s="71"/>
      <c r="J54" s="72"/>
      <c r="K54" s="62" t="s">
        <v>68</v>
      </c>
      <c r="L54" s="63" t="s">
        <v>80</v>
      </c>
      <c r="M54" s="64"/>
      <c r="N54" s="64"/>
      <c r="O54" s="63"/>
    </row>
    <row r="55" s="10" customFormat="1" ht="18" customHeight="1" spans="1:15">
      <c r="A55" s="42">
        <v>43556</v>
      </c>
      <c r="B55" s="35">
        <f t="shared" si="12"/>
        <v>9528.5</v>
      </c>
      <c r="C55" s="43"/>
      <c r="D55" s="44" t="s">
        <v>53</v>
      </c>
      <c r="E55" s="45"/>
      <c r="F55" s="35">
        <f t="shared" si="13"/>
        <v>0</v>
      </c>
      <c r="G55" s="47">
        <f>8428.5+1100</f>
        <v>9528.5</v>
      </c>
      <c r="H55" s="34"/>
      <c r="I55" s="71"/>
      <c r="J55" s="72"/>
      <c r="K55" s="62" t="s">
        <v>81</v>
      </c>
      <c r="L55" s="63" t="s">
        <v>82</v>
      </c>
      <c r="M55" s="64"/>
      <c r="N55" s="64"/>
      <c r="O55" s="63"/>
    </row>
    <row r="56" s="10" customFormat="1" ht="18" customHeight="1" spans="1:15">
      <c r="A56" s="42">
        <v>43556</v>
      </c>
      <c r="B56" s="35">
        <f t="shared" si="12"/>
        <v>2110</v>
      </c>
      <c r="C56" s="43"/>
      <c r="D56" s="44" t="s">
        <v>53</v>
      </c>
      <c r="E56" s="45"/>
      <c r="F56" s="35">
        <f t="shared" si="13"/>
        <v>0</v>
      </c>
      <c r="G56" s="47">
        <f>410+355+515+470+360</f>
        <v>2110</v>
      </c>
      <c r="H56" s="34"/>
      <c r="I56" s="71"/>
      <c r="J56" s="72"/>
      <c r="K56" s="62" t="s">
        <v>83</v>
      </c>
      <c r="L56" s="63" t="s">
        <v>84</v>
      </c>
      <c r="M56" s="64"/>
      <c r="N56" s="64"/>
      <c r="O56" s="63"/>
    </row>
    <row r="57" s="10" customFormat="1" ht="18" customHeight="1" spans="1:15">
      <c r="A57" s="42">
        <v>43556</v>
      </c>
      <c r="B57" s="35">
        <f t="shared" si="12"/>
        <v>4622.64</v>
      </c>
      <c r="C57" s="43"/>
      <c r="D57" s="44" t="s">
        <v>37</v>
      </c>
      <c r="E57" s="45">
        <v>0.06</v>
      </c>
      <c r="F57" s="35">
        <f t="shared" si="13"/>
        <v>277.36</v>
      </c>
      <c r="G57" s="47">
        <v>4900</v>
      </c>
      <c r="H57" s="34"/>
      <c r="I57" s="71"/>
      <c r="J57" s="72"/>
      <c r="K57" s="62" t="s">
        <v>85</v>
      </c>
      <c r="L57" s="63" t="s">
        <v>86</v>
      </c>
      <c r="M57" s="64"/>
      <c r="N57" s="64"/>
      <c r="O57" s="63"/>
    </row>
    <row r="58" s="10" customFormat="1" ht="18" customHeight="1" spans="1:15">
      <c r="A58" s="42">
        <v>43556</v>
      </c>
      <c r="B58" s="35">
        <f t="shared" si="12"/>
        <v>2950</v>
      </c>
      <c r="C58" s="43"/>
      <c r="D58" s="44" t="s">
        <v>53</v>
      </c>
      <c r="E58" s="45"/>
      <c r="F58" s="35">
        <f t="shared" si="13"/>
        <v>0</v>
      </c>
      <c r="G58" s="47">
        <v>2950</v>
      </c>
      <c r="H58" s="34"/>
      <c r="I58" s="71"/>
      <c r="J58" s="72"/>
      <c r="K58" s="62" t="s">
        <v>87</v>
      </c>
      <c r="L58" s="63" t="s">
        <v>88</v>
      </c>
      <c r="M58" s="64"/>
      <c r="N58" s="64"/>
      <c r="O58" s="63"/>
    </row>
    <row r="59" s="10" customFormat="1" ht="18" customHeight="1" spans="1:15">
      <c r="A59" s="42">
        <v>43556</v>
      </c>
      <c r="B59" s="35">
        <f t="shared" si="12"/>
        <v>750</v>
      </c>
      <c r="C59" s="43"/>
      <c r="D59" s="44" t="s">
        <v>53</v>
      </c>
      <c r="E59" s="45"/>
      <c r="F59" s="35">
        <f t="shared" si="13"/>
        <v>0</v>
      </c>
      <c r="G59" s="47">
        <v>750</v>
      </c>
      <c r="H59" s="34"/>
      <c r="I59" s="71"/>
      <c r="J59" s="72"/>
      <c r="K59" s="62" t="s">
        <v>70</v>
      </c>
      <c r="L59" s="63" t="s">
        <v>89</v>
      </c>
      <c r="M59" s="64"/>
      <c r="N59" s="64"/>
      <c r="O59" s="63"/>
    </row>
    <row r="60" s="10" customFormat="1" ht="18" customHeight="1" spans="1:15">
      <c r="A60" s="42">
        <v>43556</v>
      </c>
      <c r="B60" s="35">
        <f t="shared" si="12"/>
        <v>2040</v>
      </c>
      <c r="C60" s="43"/>
      <c r="D60" s="44" t="s">
        <v>53</v>
      </c>
      <c r="E60" s="45"/>
      <c r="F60" s="35">
        <f t="shared" si="13"/>
        <v>0</v>
      </c>
      <c r="G60" s="47">
        <v>2040</v>
      </c>
      <c r="H60" s="34"/>
      <c r="I60" s="71"/>
      <c r="J60" s="72"/>
      <c r="K60" s="62" t="s">
        <v>70</v>
      </c>
      <c r="L60" s="63" t="s">
        <v>90</v>
      </c>
      <c r="M60" s="64"/>
      <c r="N60" s="64"/>
      <c r="O60" s="63"/>
    </row>
    <row r="61" s="10" customFormat="1" ht="18" customHeight="1" spans="1:15">
      <c r="A61" s="42">
        <v>43556</v>
      </c>
      <c r="B61" s="35">
        <f t="shared" si="12"/>
        <v>37746</v>
      </c>
      <c r="C61" s="43"/>
      <c r="D61" s="44" t="s">
        <v>53</v>
      </c>
      <c r="E61" s="45"/>
      <c r="F61" s="35">
        <f t="shared" si="13"/>
        <v>0</v>
      </c>
      <c r="G61" s="47">
        <v>37746</v>
      </c>
      <c r="H61" s="34"/>
      <c r="I61" s="71"/>
      <c r="J61" s="72"/>
      <c r="K61" s="62" t="s">
        <v>91</v>
      </c>
      <c r="L61" s="63" t="s">
        <v>92</v>
      </c>
      <c r="M61" s="64"/>
      <c r="N61" s="64"/>
      <c r="O61" s="63"/>
    </row>
    <row r="62" s="10" customFormat="1" ht="18" customHeight="1" spans="1:15">
      <c r="A62" s="42">
        <v>43556</v>
      </c>
      <c r="B62" s="35">
        <f t="shared" si="12"/>
        <v>5970</v>
      </c>
      <c r="C62" s="43"/>
      <c r="D62" s="44" t="s">
        <v>53</v>
      </c>
      <c r="E62" s="45"/>
      <c r="F62" s="35">
        <f t="shared" si="13"/>
        <v>0</v>
      </c>
      <c r="G62" s="47">
        <f>2270+1200+2500</f>
        <v>5970</v>
      </c>
      <c r="H62" s="34"/>
      <c r="I62" s="71"/>
      <c r="J62" s="72"/>
      <c r="K62" s="62" t="s">
        <v>93</v>
      </c>
      <c r="L62" s="63" t="s">
        <v>94</v>
      </c>
      <c r="M62" s="64"/>
      <c r="N62" s="64"/>
      <c r="O62" s="63"/>
    </row>
    <row r="63" s="10" customFormat="1" ht="18" customHeight="1" spans="1:15">
      <c r="A63" s="42">
        <v>43556</v>
      </c>
      <c r="B63" s="35">
        <f t="shared" si="12"/>
        <v>2903.5</v>
      </c>
      <c r="C63" s="43"/>
      <c r="D63" s="44" t="s">
        <v>53</v>
      </c>
      <c r="E63" s="45"/>
      <c r="F63" s="35">
        <f t="shared" si="13"/>
        <v>0</v>
      </c>
      <c r="G63" s="47">
        <f>1909+994.5</f>
        <v>2903.5</v>
      </c>
      <c r="H63" s="34"/>
      <c r="I63" s="71"/>
      <c r="J63" s="72"/>
      <c r="K63" s="62" t="s">
        <v>81</v>
      </c>
      <c r="L63" s="63" t="s">
        <v>95</v>
      </c>
      <c r="M63" s="64"/>
      <c r="N63" s="64"/>
      <c r="O63" s="63"/>
    </row>
    <row r="64" s="10" customFormat="1" ht="18" customHeight="1" spans="1:15">
      <c r="A64" s="42">
        <v>43556</v>
      </c>
      <c r="B64" s="35">
        <f t="shared" si="12"/>
        <v>3640</v>
      </c>
      <c r="C64" s="43"/>
      <c r="D64" s="44" t="s">
        <v>53</v>
      </c>
      <c r="E64" s="45"/>
      <c r="F64" s="35">
        <f t="shared" si="13"/>
        <v>0</v>
      </c>
      <c r="G64" s="47">
        <v>3640</v>
      </c>
      <c r="H64" s="34"/>
      <c r="I64" s="71"/>
      <c r="J64" s="72"/>
      <c r="K64" s="62" t="s">
        <v>96</v>
      </c>
      <c r="L64" s="63" t="s">
        <v>97</v>
      </c>
      <c r="M64" s="64"/>
      <c r="N64" s="64"/>
      <c r="O64" s="63"/>
    </row>
    <row r="65" s="10" customFormat="1" ht="18" customHeight="1" spans="1:15">
      <c r="A65" s="42">
        <v>43556</v>
      </c>
      <c r="B65" s="35">
        <f t="shared" si="12"/>
        <v>745</v>
      </c>
      <c r="C65" s="43"/>
      <c r="D65" s="44" t="s">
        <v>53</v>
      </c>
      <c r="E65" s="45"/>
      <c r="F65" s="35">
        <f t="shared" si="13"/>
        <v>0</v>
      </c>
      <c r="G65" s="47">
        <v>745</v>
      </c>
      <c r="H65" s="34"/>
      <c r="I65" s="71"/>
      <c r="J65" s="72"/>
      <c r="K65" s="62" t="s">
        <v>98</v>
      </c>
      <c r="L65" s="63" t="s">
        <v>99</v>
      </c>
      <c r="M65" s="64"/>
      <c r="N65" s="64"/>
      <c r="O65" s="63"/>
    </row>
    <row r="66" s="10" customFormat="1" ht="18" customHeight="1" spans="1:15">
      <c r="A66" s="42">
        <v>43556</v>
      </c>
      <c r="B66" s="35">
        <f t="shared" si="12"/>
        <v>2140</v>
      </c>
      <c r="C66" s="43"/>
      <c r="D66" s="44" t="s">
        <v>53</v>
      </c>
      <c r="E66" s="45"/>
      <c r="F66" s="35">
        <f t="shared" si="13"/>
        <v>0</v>
      </c>
      <c r="G66" s="47">
        <v>2140</v>
      </c>
      <c r="H66" s="34"/>
      <c r="I66" s="71"/>
      <c r="J66" s="72"/>
      <c r="K66" s="62" t="s">
        <v>100</v>
      </c>
      <c r="L66" s="63" t="s">
        <v>101</v>
      </c>
      <c r="M66" s="64"/>
      <c r="N66" s="64"/>
      <c r="O66" s="63"/>
    </row>
    <row r="67" s="10" customFormat="1" ht="18" customHeight="1" spans="1:15">
      <c r="A67" s="42">
        <v>43556</v>
      </c>
      <c r="B67" s="35">
        <f t="shared" si="12"/>
        <v>3260</v>
      </c>
      <c r="C67" s="43"/>
      <c r="D67" s="44" t="s">
        <v>53</v>
      </c>
      <c r="E67" s="45"/>
      <c r="F67" s="35">
        <f t="shared" si="13"/>
        <v>0</v>
      </c>
      <c r="G67" s="47">
        <v>3260</v>
      </c>
      <c r="H67" s="34"/>
      <c r="I67" s="71"/>
      <c r="J67" s="72"/>
      <c r="K67" s="62" t="s">
        <v>76</v>
      </c>
      <c r="L67" s="63" t="s">
        <v>102</v>
      </c>
      <c r="M67" s="64"/>
      <c r="N67" s="64"/>
      <c r="O67" s="63"/>
    </row>
    <row r="68" s="10" customFormat="1" ht="18" customHeight="1" spans="1:15">
      <c r="A68" s="42">
        <v>43556</v>
      </c>
      <c r="B68" s="35">
        <f t="shared" si="12"/>
        <v>1445</v>
      </c>
      <c r="C68" s="43"/>
      <c r="D68" s="44" t="s">
        <v>53</v>
      </c>
      <c r="E68" s="45"/>
      <c r="F68" s="35">
        <f t="shared" si="13"/>
        <v>0</v>
      </c>
      <c r="G68" s="47">
        <v>1445</v>
      </c>
      <c r="H68" s="34"/>
      <c r="I68" s="71"/>
      <c r="J68" s="72"/>
      <c r="K68" s="62" t="s">
        <v>78</v>
      </c>
      <c r="L68" s="63" t="s">
        <v>103</v>
      </c>
      <c r="M68" s="64"/>
      <c r="N68" s="64"/>
      <c r="O68" s="63"/>
    </row>
    <row r="69" s="10" customFormat="1" ht="18" customHeight="1" spans="1:15">
      <c r="A69" s="42">
        <v>43556</v>
      </c>
      <c r="B69" s="35">
        <f t="shared" si="12"/>
        <v>516</v>
      </c>
      <c r="C69" s="43"/>
      <c r="D69" s="44" t="s">
        <v>53</v>
      </c>
      <c r="E69" s="45"/>
      <c r="F69" s="35">
        <f t="shared" si="13"/>
        <v>0</v>
      </c>
      <c r="G69" s="47">
        <v>516</v>
      </c>
      <c r="H69" s="34"/>
      <c r="I69" s="71"/>
      <c r="J69" s="72"/>
      <c r="K69" s="62" t="s">
        <v>104</v>
      </c>
      <c r="L69" s="63" t="s">
        <v>105</v>
      </c>
      <c r="M69" s="64"/>
      <c r="N69" s="64"/>
      <c r="O69" s="63"/>
    </row>
    <row r="70" s="10" customFormat="1" ht="18" customHeight="1" spans="1:15">
      <c r="A70" s="42">
        <v>43556</v>
      </c>
      <c r="B70" s="35">
        <f t="shared" si="12"/>
        <v>480</v>
      </c>
      <c r="C70" s="43"/>
      <c r="D70" s="44" t="s">
        <v>53</v>
      </c>
      <c r="E70" s="45"/>
      <c r="F70" s="35">
        <f t="shared" si="13"/>
        <v>0</v>
      </c>
      <c r="G70" s="47">
        <f>30*2+15*26+30</f>
        <v>480</v>
      </c>
      <c r="H70" s="34"/>
      <c r="I70" s="71"/>
      <c r="J70" s="72"/>
      <c r="K70" s="62" t="s">
        <v>106</v>
      </c>
      <c r="L70" s="63"/>
      <c r="M70" s="64"/>
      <c r="N70" s="64"/>
      <c r="O70" s="63"/>
    </row>
    <row r="71" s="10" customFormat="1" ht="18" customHeight="1" spans="1:15">
      <c r="A71" s="42">
        <v>43556</v>
      </c>
      <c r="B71" s="35">
        <f t="shared" si="12"/>
        <v>2231</v>
      </c>
      <c r="C71" s="43"/>
      <c r="D71" s="44" t="s">
        <v>53</v>
      </c>
      <c r="E71" s="45"/>
      <c r="F71" s="35">
        <f t="shared" si="13"/>
        <v>0</v>
      </c>
      <c r="G71" s="47">
        <f>321+430+390+410+680</f>
        <v>2231</v>
      </c>
      <c r="H71" s="34"/>
      <c r="I71" s="71"/>
      <c r="J71" s="72"/>
      <c r="K71" s="62" t="s">
        <v>107</v>
      </c>
      <c r="L71" s="63"/>
      <c r="M71" s="64"/>
      <c r="N71" s="64"/>
      <c r="O71" s="63"/>
    </row>
    <row r="72" s="10" customFormat="1" ht="18" customHeight="1" spans="1:15">
      <c r="A72" s="42">
        <v>43617</v>
      </c>
      <c r="B72" s="35">
        <f t="shared" si="12"/>
        <v>64837.69</v>
      </c>
      <c r="C72" s="43"/>
      <c r="D72" s="44" t="s">
        <v>37</v>
      </c>
      <c r="E72" s="45">
        <v>0.13</v>
      </c>
      <c r="F72" s="35">
        <f t="shared" si="13"/>
        <v>8428.9</v>
      </c>
      <c r="G72" s="47">
        <v>73266.59</v>
      </c>
      <c r="H72" s="34"/>
      <c r="I72" s="71"/>
      <c r="J72" s="72"/>
      <c r="K72" s="62" t="s">
        <v>108</v>
      </c>
      <c r="L72" s="63" t="s">
        <v>109</v>
      </c>
      <c r="M72" s="64"/>
      <c r="N72" s="64"/>
      <c r="O72" s="63"/>
    </row>
    <row r="73" s="10" customFormat="1" ht="18" customHeight="1" spans="1:15">
      <c r="A73" s="42">
        <v>43617</v>
      </c>
      <c r="B73" s="35">
        <f t="shared" si="12"/>
        <v>290485.44</v>
      </c>
      <c r="C73" s="43"/>
      <c r="D73" s="44" t="s">
        <v>37</v>
      </c>
      <c r="E73" s="45">
        <v>0.03</v>
      </c>
      <c r="F73" s="35">
        <f t="shared" si="13"/>
        <v>8714.56</v>
      </c>
      <c r="G73" s="47">
        <f>99600+99700+99900</f>
        <v>299200</v>
      </c>
      <c r="H73" s="34"/>
      <c r="I73" s="71"/>
      <c r="J73" s="72"/>
      <c r="K73" s="62" t="s">
        <v>110</v>
      </c>
      <c r="L73" s="63" t="s">
        <v>111</v>
      </c>
      <c r="M73" s="64"/>
      <c r="N73" s="64"/>
      <c r="O73" s="63"/>
    </row>
    <row r="74" s="10" customFormat="1" ht="18" customHeight="1" spans="1:15">
      <c r="A74" s="42">
        <v>43617</v>
      </c>
      <c r="B74" s="35">
        <f t="shared" si="12"/>
        <v>1552.21</v>
      </c>
      <c r="C74" s="43"/>
      <c r="D74" s="44" t="s">
        <v>37</v>
      </c>
      <c r="E74" s="45">
        <v>0.13</v>
      </c>
      <c r="F74" s="35">
        <f t="shared" si="13"/>
        <v>201.79</v>
      </c>
      <c r="G74" s="47">
        <v>1754</v>
      </c>
      <c r="H74" s="34"/>
      <c r="I74" s="71"/>
      <c r="J74" s="72"/>
      <c r="K74" s="62" t="s">
        <v>112</v>
      </c>
      <c r="L74" s="63" t="s">
        <v>58</v>
      </c>
      <c r="M74" s="64"/>
      <c r="N74" s="64"/>
      <c r="O74" s="63"/>
    </row>
    <row r="75" s="10" customFormat="1" ht="18" customHeight="1" spans="1:15">
      <c r="A75" s="42">
        <v>43617</v>
      </c>
      <c r="B75" s="35">
        <f t="shared" si="12"/>
        <v>1050</v>
      </c>
      <c r="C75" s="43"/>
      <c r="D75" s="44" t="s">
        <v>53</v>
      </c>
      <c r="E75" s="45"/>
      <c r="F75" s="35">
        <f t="shared" si="13"/>
        <v>0</v>
      </c>
      <c r="G75" s="47">
        <v>1050</v>
      </c>
      <c r="H75" s="34"/>
      <c r="I75" s="71"/>
      <c r="J75" s="72"/>
      <c r="K75" s="62" t="s">
        <v>68</v>
      </c>
      <c r="L75" s="63" t="s">
        <v>113</v>
      </c>
      <c r="M75" s="64"/>
      <c r="N75" s="64"/>
      <c r="O75" s="63"/>
    </row>
    <row r="76" s="10" customFormat="1" ht="18" customHeight="1" spans="1:15">
      <c r="A76" s="42">
        <v>43617</v>
      </c>
      <c r="B76" s="35">
        <f t="shared" si="12"/>
        <v>160</v>
      </c>
      <c r="C76" s="43"/>
      <c r="D76" s="44" t="s">
        <v>53</v>
      </c>
      <c r="E76" s="45"/>
      <c r="F76" s="35">
        <f t="shared" si="13"/>
        <v>0</v>
      </c>
      <c r="G76" s="47">
        <v>160</v>
      </c>
      <c r="H76" s="34"/>
      <c r="I76" s="71"/>
      <c r="J76" s="72"/>
      <c r="K76" s="62" t="s">
        <v>114</v>
      </c>
      <c r="L76" s="63" t="s">
        <v>115</v>
      </c>
      <c r="M76" s="64"/>
      <c r="N76" s="64"/>
      <c r="O76" s="63"/>
    </row>
    <row r="77" s="10" customFormat="1" ht="18" customHeight="1" spans="1:15">
      <c r="A77" s="42">
        <v>43617</v>
      </c>
      <c r="B77" s="35">
        <f t="shared" si="12"/>
        <v>1650</v>
      </c>
      <c r="C77" s="43"/>
      <c r="D77" s="44" t="s">
        <v>53</v>
      </c>
      <c r="E77" s="45"/>
      <c r="F77" s="35">
        <f t="shared" si="13"/>
        <v>0</v>
      </c>
      <c r="G77" s="47">
        <v>1650</v>
      </c>
      <c r="H77" s="34"/>
      <c r="I77" s="71"/>
      <c r="J77" s="72"/>
      <c r="K77" s="62" t="s">
        <v>68</v>
      </c>
      <c r="L77" s="63" t="s">
        <v>116</v>
      </c>
      <c r="M77" s="64"/>
      <c r="N77" s="64"/>
      <c r="O77" s="63"/>
    </row>
    <row r="78" s="10" customFormat="1" ht="18" customHeight="1" spans="1:15">
      <c r="A78" s="42">
        <v>43617</v>
      </c>
      <c r="B78" s="35">
        <f t="shared" si="12"/>
        <v>3236</v>
      </c>
      <c r="C78" s="43"/>
      <c r="D78" s="44" t="s">
        <v>53</v>
      </c>
      <c r="E78" s="45"/>
      <c r="F78" s="35">
        <f t="shared" si="13"/>
        <v>0</v>
      </c>
      <c r="G78" s="47">
        <v>3236</v>
      </c>
      <c r="H78" s="34"/>
      <c r="I78" s="71"/>
      <c r="J78" s="72"/>
      <c r="K78" s="62" t="s">
        <v>68</v>
      </c>
      <c r="L78" s="63" t="s">
        <v>117</v>
      </c>
      <c r="M78" s="64"/>
      <c r="N78" s="64"/>
      <c r="O78" s="63"/>
    </row>
    <row r="79" s="10" customFormat="1" ht="18" customHeight="1" spans="1:15">
      <c r="A79" s="42">
        <v>43617</v>
      </c>
      <c r="B79" s="35">
        <f t="shared" si="12"/>
        <v>1200</v>
      </c>
      <c r="C79" s="43"/>
      <c r="D79" s="44" t="s">
        <v>53</v>
      </c>
      <c r="E79" s="45"/>
      <c r="F79" s="35">
        <f t="shared" si="13"/>
        <v>0</v>
      </c>
      <c r="G79" s="47">
        <v>1200</v>
      </c>
      <c r="H79" s="34"/>
      <c r="I79" s="71"/>
      <c r="J79" s="72"/>
      <c r="K79" s="62" t="s">
        <v>118</v>
      </c>
      <c r="L79" s="63" t="s">
        <v>119</v>
      </c>
      <c r="M79" s="64"/>
      <c r="N79" s="64"/>
      <c r="O79" s="63"/>
    </row>
    <row r="80" s="10" customFormat="1" ht="18" customHeight="1" spans="1:15">
      <c r="A80" s="42">
        <v>43617</v>
      </c>
      <c r="B80" s="35">
        <f t="shared" si="12"/>
        <v>205</v>
      </c>
      <c r="C80" s="43"/>
      <c r="D80" s="44" t="s">
        <v>53</v>
      </c>
      <c r="E80" s="45"/>
      <c r="F80" s="35">
        <f t="shared" si="13"/>
        <v>0</v>
      </c>
      <c r="G80" s="47">
        <v>205</v>
      </c>
      <c r="H80" s="34"/>
      <c r="I80" s="71"/>
      <c r="J80" s="72"/>
      <c r="K80" s="62" t="s">
        <v>68</v>
      </c>
      <c r="L80" s="63" t="s">
        <v>120</v>
      </c>
      <c r="M80" s="64"/>
      <c r="N80" s="64"/>
      <c r="O80" s="63"/>
    </row>
    <row r="81" s="10" customFormat="1" ht="18" customHeight="1" spans="1:15">
      <c r="A81" s="42">
        <v>43617</v>
      </c>
      <c r="B81" s="35">
        <f t="shared" si="12"/>
        <v>56</v>
      </c>
      <c r="C81" s="43"/>
      <c r="D81" s="44" t="s">
        <v>53</v>
      </c>
      <c r="E81" s="45"/>
      <c r="F81" s="35">
        <f t="shared" si="13"/>
        <v>0</v>
      </c>
      <c r="G81" s="47">
        <v>56</v>
      </c>
      <c r="H81" s="34"/>
      <c r="I81" s="71"/>
      <c r="J81" s="72"/>
      <c r="K81" s="62" t="s">
        <v>68</v>
      </c>
      <c r="L81" s="63" t="s">
        <v>121</v>
      </c>
      <c r="M81" s="64"/>
      <c r="N81" s="64"/>
      <c r="O81" s="63"/>
    </row>
    <row r="82" s="10" customFormat="1" ht="18" customHeight="1" spans="1:15">
      <c r="A82" s="42">
        <v>43617</v>
      </c>
      <c r="B82" s="35">
        <f t="shared" si="12"/>
        <v>10</v>
      </c>
      <c r="C82" s="43"/>
      <c r="D82" s="44" t="s">
        <v>53</v>
      </c>
      <c r="E82" s="45"/>
      <c r="F82" s="35">
        <f t="shared" si="13"/>
        <v>0</v>
      </c>
      <c r="G82" s="47">
        <v>10</v>
      </c>
      <c r="H82" s="34"/>
      <c r="I82" s="71"/>
      <c r="J82" s="72"/>
      <c r="K82" s="62" t="s">
        <v>122</v>
      </c>
      <c r="L82" s="63" t="s">
        <v>123</v>
      </c>
      <c r="M82" s="64"/>
      <c r="N82" s="64"/>
      <c r="O82" s="63"/>
    </row>
    <row r="83" s="10" customFormat="1" ht="18" customHeight="1" spans="1:15">
      <c r="A83" s="42">
        <v>43617</v>
      </c>
      <c r="B83" s="35">
        <f t="shared" si="12"/>
        <v>9914</v>
      </c>
      <c r="C83" s="43"/>
      <c r="D83" s="44" t="s">
        <v>53</v>
      </c>
      <c r="E83" s="45"/>
      <c r="F83" s="35">
        <f t="shared" si="13"/>
        <v>0</v>
      </c>
      <c r="G83" s="47">
        <v>9914</v>
      </c>
      <c r="H83" s="34"/>
      <c r="I83" s="71"/>
      <c r="J83" s="72"/>
      <c r="K83" s="62" t="s">
        <v>122</v>
      </c>
      <c r="L83" s="63" t="s">
        <v>123</v>
      </c>
      <c r="M83" s="64"/>
      <c r="N83" s="64"/>
      <c r="O83" s="63"/>
    </row>
    <row r="84" s="10" customFormat="1" ht="18" customHeight="1" spans="1:15">
      <c r="A84" s="42">
        <v>43617</v>
      </c>
      <c r="B84" s="35">
        <f t="shared" si="12"/>
        <v>5260</v>
      </c>
      <c r="C84" s="43"/>
      <c r="D84" s="44" t="s">
        <v>53</v>
      </c>
      <c r="E84" s="45"/>
      <c r="F84" s="35">
        <f t="shared" si="13"/>
        <v>0</v>
      </c>
      <c r="G84" s="47">
        <f>375+150+300+545+505+370+400+370+290+390+390+480+495+200</f>
        <v>5260</v>
      </c>
      <c r="H84" s="34"/>
      <c r="I84" s="71"/>
      <c r="J84" s="72"/>
      <c r="K84" s="62" t="s">
        <v>107</v>
      </c>
      <c r="L84" s="63"/>
      <c r="M84" s="64"/>
      <c r="N84" s="64"/>
      <c r="O84" s="63"/>
    </row>
    <row r="85" s="10" customFormat="1" ht="18" customHeight="1" spans="1:15">
      <c r="A85" s="42">
        <v>43617</v>
      </c>
      <c r="B85" s="35">
        <f t="shared" si="12"/>
        <v>800</v>
      </c>
      <c r="C85" s="43"/>
      <c r="D85" s="44" t="s">
        <v>53</v>
      </c>
      <c r="E85" s="45"/>
      <c r="F85" s="35">
        <f t="shared" si="13"/>
        <v>0</v>
      </c>
      <c r="G85" s="47">
        <v>800</v>
      </c>
      <c r="H85" s="34"/>
      <c r="I85" s="71"/>
      <c r="J85" s="72"/>
      <c r="K85" s="63" t="s">
        <v>124</v>
      </c>
      <c r="L85" s="63" t="s">
        <v>124</v>
      </c>
      <c r="M85" s="64"/>
      <c r="N85" s="64"/>
      <c r="O85" s="63"/>
    </row>
    <row r="86" s="10" customFormat="1" ht="18" customHeight="1" spans="1:15">
      <c r="A86" s="42">
        <v>43617</v>
      </c>
      <c r="B86" s="35">
        <f t="shared" si="12"/>
        <v>540</v>
      </c>
      <c r="C86" s="43"/>
      <c r="D86" s="44" t="s">
        <v>53</v>
      </c>
      <c r="E86" s="45"/>
      <c r="F86" s="35">
        <f t="shared" si="13"/>
        <v>0</v>
      </c>
      <c r="G86" s="47">
        <f>30+15+15+75+85+15+15+15+15+15+15+15+15+15+15+30+30+25+25+15+15+15+15</f>
        <v>540</v>
      </c>
      <c r="H86" s="34"/>
      <c r="I86" s="71"/>
      <c r="J86" s="72"/>
      <c r="K86" s="62" t="s">
        <v>106</v>
      </c>
      <c r="L86" s="63"/>
      <c r="M86" s="64"/>
      <c r="N86" s="64"/>
      <c r="O86" s="63"/>
    </row>
    <row r="87" s="10" customFormat="1" ht="18" customHeight="1" spans="1:15">
      <c r="A87" s="42">
        <v>43617</v>
      </c>
      <c r="B87" s="35">
        <f t="shared" si="12"/>
        <v>970873.79</v>
      </c>
      <c r="C87" s="43"/>
      <c r="D87" s="44" t="s">
        <v>37</v>
      </c>
      <c r="E87" s="45">
        <v>0.03</v>
      </c>
      <c r="F87" s="35">
        <f t="shared" si="13"/>
        <v>29126.21</v>
      </c>
      <c r="G87" s="47">
        <f>90000*2+84000+86000+95000+95000+90000+95000+95000+90000+90000</f>
        <v>1000000</v>
      </c>
      <c r="H87" s="34"/>
      <c r="I87" s="71"/>
      <c r="J87" s="72"/>
      <c r="K87" s="62" t="s">
        <v>110</v>
      </c>
      <c r="L87" s="63" t="s">
        <v>125</v>
      </c>
      <c r="M87" s="64"/>
      <c r="N87" s="64"/>
      <c r="O87" s="63"/>
    </row>
    <row r="88" s="10" customFormat="1" ht="18" customHeight="1" spans="1:15">
      <c r="A88" s="42">
        <v>43617</v>
      </c>
      <c r="B88" s="35">
        <f t="shared" si="12"/>
        <v>292038.83</v>
      </c>
      <c r="C88" s="43"/>
      <c r="D88" s="44" t="s">
        <v>37</v>
      </c>
      <c r="E88" s="45">
        <v>0.03</v>
      </c>
      <c r="F88" s="35">
        <f t="shared" si="13"/>
        <v>8761.17</v>
      </c>
      <c r="G88" s="47">
        <f>30800+90000+90000+90000</f>
        <v>300800</v>
      </c>
      <c r="H88" s="34"/>
      <c r="I88" s="71"/>
      <c r="J88" s="72"/>
      <c r="K88" s="62" t="s">
        <v>110</v>
      </c>
      <c r="L88" s="63" t="s">
        <v>126</v>
      </c>
      <c r="M88" s="64"/>
      <c r="N88" s="64"/>
      <c r="O88" s="63"/>
    </row>
    <row r="89" s="10" customFormat="1" ht="18" customHeight="1" spans="1:15">
      <c r="A89" s="42">
        <v>43617</v>
      </c>
      <c r="B89" s="35">
        <f t="shared" si="12"/>
        <v>40000</v>
      </c>
      <c r="C89" s="43"/>
      <c r="D89" s="44" t="s">
        <v>53</v>
      </c>
      <c r="E89" s="45"/>
      <c r="F89" s="35">
        <f t="shared" si="13"/>
        <v>0</v>
      </c>
      <c r="G89" s="47">
        <v>40000</v>
      </c>
      <c r="H89" s="34"/>
      <c r="I89" s="71"/>
      <c r="J89" s="72"/>
      <c r="K89" s="62" t="s">
        <v>127</v>
      </c>
      <c r="L89" s="63" t="s">
        <v>128</v>
      </c>
      <c r="M89" s="64"/>
      <c r="N89" s="64"/>
      <c r="O89" s="63"/>
    </row>
    <row r="90" s="10" customFormat="1" ht="18" customHeight="1" spans="1:15">
      <c r="A90" s="42">
        <v>43617</v>
      </c>
      <c r="B90" s="35">
        <f t="shared" si="12"/>
        <v>8888.88</v>
      </c>
      <c r="C90" s="43"/>
      <c r="D90" s="44" t="s">
        <v>53</v>
      </c>
      <c r="E90" s="45"/>
      <c r="F90" s="35">
        <f t="shared" si="13"/>
        <v>0</v>
      </c>
      <c r="G90" s="47">
        <v>8888.88</v>
      </c>
      <c r="H90" s="34"/>
      <c r="I90" s="71"/>
      <c r="J90" s="72"/>
      <c r="K90" s="62" t="s">
        <v>122</v>
      </c>
      <c r="L90" s="63" t="s">
        <v>123</v>
      </c>
      <c r="M90" s="64"/>
      <c r="N90" s="64"/>
      <c r="O90" s="63"/>
    </row>
    <row r="91" s="10" customFormat="1" ht="18" customHeight="1" spans="1:15">
      <c r="A91" s="42">
        <v>43617</v>
      </c>
      <c r="B91" s="35">
        <f t="shared" si="12"/>
        <v>89224.63</v>
      </c>
      <c r="C91" s="43"/>
      <c r="D91" s="44" t="s">
        <v>37</v>
      </c>
      <c r="E91" s="45">
        <v>0.13</v>
      </c>
      <c r="F91" s="35">
        <f t="shared" si="13"/>
        <v>11599.2</v>
      </c>
      <c r="G91" s="47">
        <v>100823.83</v>
      </c>
      <c r="H91" s="34"/>
      <c r="I91" s="71"/>
      <c r="J91" s="72"/>
      <c r="K91" s="62" t="s">
        <v>108</v>
      </c>
      <c r="L91" s="63" t="s">
        <v>129</v>
      </c>
      <c r="M91" s="64"/>
      <c r="N91" s="64"/>
      <c r="O91" s="63"/>
    </row>
    <row r="92" s="10" customFormat="1" ht="18" customHeight="1" spans="1:15">
      <c r="A92" s="42">
        <v>43647</v>
      </c>
      <c r="B92" s="35">
        <f t="shared" si="12"/>
        <v>5452.83</v>
      </c>
      <c r="C92" s="43"/>
      <c r="D92" s="44" t="s">
        <v>37</v>
      </c>
      <c r="E92" s="45">
        <v>0.06</v>
      </c>
      <c r="F92" s="35">
        <f t="shared" si="13"/>
        <v>327.17</v>
      </c>
      <c r="G92" s="47">
        <v>5780</v>
      </c>
      <c r="H92" s="34"/>
      <c r="I92" s="71"/>
      <c r="J92" s="72"/>
      <c r="K92" s="62" t="s">
        <v>130</v>
      </c>
      <c r="L92" s="63" t="s">
        <v>131</v>
      </c>
      <c r="M92" s="64"/>
      <c r="N92" s="64"/>
      <c r="O92" s="63"/>
    </row>
    <row r="93" s="10" customFormat="1" ht="18" customHeight="1" spans="1:15">
      <c r="A93" s="42">
        <v>43647</v>
      </c>
      <c r="B93" s="35">
        <f t="shared" si="12"/>
        <v>48822</v>
      </c>
      <c r="C93" s="43"/>
      <c r="D93" s="44" t="s">
        <v>53</v>
      </c>
      <c r="E93" s="45"/>
      <c r="F93" s="35">
        <f t="shared" si="13"/>
        <v>0</v>
      </c>
      <c r="G93" s="47">
        <f>9991+9888+9476+9579+9888</f>
        <v>48822</v>
      </c>
      <c r="H93" s="34"/>
      <c r="I93" s="71"/>
      <c r="J93" s="72"/>
      <c r="K93" s="62" t="s">
        <v>132</v>
      </c>
      <c r="L93" s="63" t="s">
        <v>133</v>
      </c>
      <c r="M93" s="64"/>
      <c r="N93" s="64"/>
      <c r="O93" s="63"/>
    </row>
    <row r="94" s="10" customFormat="1" ht="18" customHeight="1" spans="1:15">
      <c r="A94" s="42">
        <v>43647</v>
      </c>
      <c r="B94" s="35">
        <f t="shared" si="12"/>
        <v>2780</v>
      </c>
      <c r="C94" s="43"/>
      <c r="D94" s="44" t="s">
        <v>53</v>
      </c>
      <c r="E94" s="45"/>
      <c r="F94" s="35">
        <f t="shared" si="13"/>
        <v>0</v>
      </c>
      <c r="G94" s="47">
        <f>320+360+370+510+480+270+270+200</f>
        <v>2780</v>
      </c>
      <c r="H94" s="34"/>
      <c r="I94" s="71"/>
      <c r="J94" s="72"/>
      <c r="K94" s="62" t="s">
        <v>83</v>
      </c>
      <c r="L94" s="63"/>
      <c r="M94" s="64"/>
      <c r="N94" s="64"/>
      <c r="O94" s="63"/>
    </row>
    <row r="95" s="10" customFormat="1" ht="19" customHeight="1" spans="1:15">
      <c r="A95" s="42">
        <v>43647</v>
      </c>
      <c r="B95" s="35">
        <f t="shared" si="12"/>
        <v>630</v>
      </c>
      <c r="C95" s="43"/>
      <c r="D95" s="44" t="s">
        <v>53</v>
      </c>
      <c r="E95" s="45"/>
      <c r="F95" s="35">
        <f t="shared" si="13"/>
        <v>0</v>
      </c>
      <c r="G95" s="47">
        <v>630</v>
      </c>
      <c r="H95" s="34"/>
      <c r="I95" s="71"/>
      <c r="J95" s="72"/>
      <c r="K95" s="62" t="s">
        <v>106</v>
      </c>
      <c r="L95" s="63"/>
      <c r="M95" s="64"/>
      <c r="N95" s="64"/>
      <c r="O95" s="63"/>
    </row>
    <row r="96" s="10" customFormat="1" ht="18" customHeight="1" spans="1:15">
      <c r="A96" s="42"/>
      <c r="B96" s="35">
        <f t="shared" si="12"/>
        <v>0</v>
      </c>
      <c r="C96" s="43"/>
      <c r="D96" s="44"/>
      <c r="E96" s="45"/>
      <c r="F96" s="35">
        <f t="shared" si="13"/>
        <v>0</v>
      </c>
      <c r="G96" s="47"/>
      <c r="H96" s="30">
        <v>43616</v>
      </c>
      <c r="I96" s="56">
        <v>1000000</v>
      </c>
      <c r="J96" s="76" t="s">
        <v>134</v>
      </c>
      <c r="K96" s="62" t="s">
        <v>110</v>
      </c>
      <c r="L96" s="63" t="s">
        <v>125</v>
      </c>
      <c r="M96" s="64"/>
      <c r="N96" s="64"/>
      <c r="O96" s="63"/>
    </row>
    <row r="97" s="10" customFormat="1" ht="18" customHeight="1" spans="1:15">
      <c r="A97" s="42"/>
      <c r="B97" s="35">
        <f t="shared" si="12"/>
        <v>0</v>
      </c>
      <c r="C97" s="43"/>
      <c r="D97" s="44"/>
      <c r="E97" s="45"/>
      <c r="F97" s="35">
        <f t="shared" si="13"/>
        <v>0</v>
      </c>
      <c r="G97" s="47"/>
      <c r="H97" s="30">
        <v>43616</v>
      </c>
      <c r="I97" s="56">
        <v>600000</v>
      </c>
      <c r="J97" s="76" t="s">
        <v>134</v>
      </c>
      <c r="K97" s="62" t="s">
        <v>110</v>
      </c>
      <c r="L97" s="63" t="s">
        <v>126</v>
      </c>
      <c r="M97" s="64"/>
      <c r="N97" s="64"/>
      <c r="O97" s="63"/>
    </row>
    <row r="98" s="10" customFormat="1" ht="18" customHeight="1" spans="1:15">
      <c r="A98" s="42"/>
      <c r="B98" s="35">
        <f t="shared" si="12"/>
        <v>0</v>
      </c>
      <c r="C98" s="43"/>
      <c r="D98" s="44"/>
      <c r="E98" s="45"/>
      <c r="F98" s="35">
        <f t="shared" si="13"/>
        <v>0</v>
      </c>
      <c r="G98" s="47"/>
      <c r="H98" s="30">
        <v>43616</v>
      </c>
      <c r="I98" s="56">
        <v>155793</v>
      </c>
      <c r="J98" s="76" t="s">
        <v>42</v>
      </c>
      <c r="K98" s="62" t="s">
        <v>43</v>
      </c>
      <c r="L98" s="63" t="s">
        <v>135</v>
      </c>
      <c r="M98" s="64"/>
      <c r="N98" s="64"/>
      <c r="O98" s="63"/>
    </row>
    <row r="99" s="10" customFormat="1" ht="18" customHeight="1" spans="1:15">
      <c r="A99" s="42"/>
      <c r="B99" s="35">
        <f t="shared" si="12"/>
        <v>0</v>
      </c>
      <c r="C99" s="43"/>
      <c r="D99" s="44"/>
      <c r="E99" s="45"/>
      <c r="F99" s="35">
        <f t="shared" si="13"/>
        <v>0</v>
      </c>
      <c r="G99" s="47"/>
      <c r="H99" s="73">
        <v>43621</v>
      </c>
      <c r="I99" s="77">
        <v>334437.04</v>
      </c>
      <c r="J99" s="78" t="s">
        <v>42</v>
      </c>
      <c r="K99" s="62" t="s">
        <v>43</v>
      </c>
      <c r="L99" s="63" t="s">
        <v>135</v>
      </c>
      <c r="M99" s="64"/>
      <c r="N99" s="64"/>
      <c r="O99" s="63"/>
    </row>
    <row r="100" s="10" customFormat="1" ht="18" customHeight="1" spans="1:15">
      <c r="A100" s="42"/>
      <c r="B100" s="35">
        <f t="shared" si="12"/>
        <v>0</v>
      </c>
      <c r="C100" s="43"/>
      <c r="D100" s="44"/>
      <c r="E100" s="45"/>
      <c r="F100" s="35">
        <f t="shared" si="13"/>
        <v>0</v>
      </c>
      <c r="G100" s="47"/>
      <c r="H100" s="74">
        <v>43626</v>
      </c>
      <c r="I100" s="79">
        <v>104800</v>
      </c>
      <c r="J100" s="80" t="s">
        <v>134</v>
      </c>
      <c r="K100" s="67" t="s">
        <v>46</v>
      </c>
      <c r="L100" s="63" t="s">
        <v>47</v>
      </c>
      <c r="M100" s="64"/>
      <c r="N100" s="64"/>
      <c r="O100" s="63"/>
    </row>
    <row r="101" s="10" customFormat="1" ht="18" customHeight="1" spans="1:15">
      <c r="A101" s="42"/>
      <c r="B101" s="35"/>
      <c r="C101" s="43"/>
      <c r="D101" s="44"/>
      <c r="E101" s="45"/>
      <c r="F101" s="35"/>
      <c r="G101" s="47"/>
      <c r="H101" s="74">
        <v>43626</v>
      </c>
      <c r="I101" s="79">
        <v>-104800</v>
      </c>
      <c r="J101" s="80" t="s">
        <v>42</v>
      </c>
      <c r="K101" s="67" t="s">
        <v>43</v>
      </c>
      <c r="L101" s="63"/>
      <c r="M101" s="64"/>
      <c r="N101" s="64"/>
      <c r="O101" s="63"/>
    </row>
    <row r="102" s="10" customFormat="1" ht="18" customHeight="1" spans="1:15">
      <c r="A102" s="42"/>
      <c r="B102" s="35">
        <f t="shared" si="12"/>
        <v>0</v>
      </c>
      <c r="C102" s="43"/>
      <c r="D102" s="44"/>
      <c r="E102" s="45"/>
      <c r="F102" s="35">
        <f t="shared" si="13"/>
        <v>0</v>
      </c>
      <c r="G102" s="47"/>
      <c r="H102" s="74">
        <v>43629</v>
      </c>
      <c r="I102" s="79">
        <v>76200</v>
      </c>
      <c r="J102" s="80" t="s">
        <v>134</v>
      </c>
      <c r="K102" s="67" t="s">
        <v>46</v>
      </c>
      <c r="L102" s="63" t="s">
        <v>47</v>
      </c>
      <c r="M102" s="64"/>
      <c r="N102" s="64"/>
      <c r="O102" s="63"/>
    </row>
    <row r="103" s="10" customFormat="1" ht="18" customHeight="1" spans="1:15">
      <c r="A103" s="42"/>
      <c r="B103" s="35"/>
      <c r="C103" s="43"/>
      <c r="D103" s="44"/>
      <c r="E103" s="45"/>
      <c r="F103" s="35"/>
      <c r="G103" s="47"/>
      <c r="H103" s="74">
        <v>43629</v>
      </c>
      <c r="I103" s="79">
        <v>-76200</v>
      </c>
      <c r="J103" s="80" t="s">
        <v>42</v>
      </c>
      <c r="K103" s="67" t="s">
        <v>43</v>
      </c>
      <c r="L103" s="63"/>
      <c r="M103" s="64"/>
      <c r="N103" s="64"/>
      <c r="O103" s="63"/>
    </row>
    <row r="104" s="10" customFormat="1" ht="18" customHeight="1" spans="1:15">
      <c r="A104" s="42"/>
      <c r="B104" s="35">
        <f t="shared" si="12"/>
        <v>0</v>
      </c>
      <c r="C104" s="43"/>
      <c r="D104" s="44"/>
      <c r="E104" s="45"/>
      <c r="F104" s="35">
        <f t="shared" si="13"/>
        <v>0</v>
      </c>
      <c r="G104" s="47"/>
      <c r="H104" s="74">
        <v>43634</v>
      </c>
      <c r="I104" s="79">
        <v>100823.83</v>
      </c>
      <c r="J104" s="80" t="s">
        <v>134</v>
      </c>
      <c r="K104" s="67" t="s">
        <v>108</v>
      </c>
      <c r="L104" s="63" t="s">
        <v>136</v>
      </c>
      <c r="M104" s="64"/>
      <c r="N104" s="64"/>
      <c r="O104" s="63"/>
    </row>
    <row r="105" s="10" customFormat="1" ht="18" customHeight="1" spans="1:15">
      <c r="A105" s="42"/>
      <c r="B105" s="35"/>
      <c r="C105" s="43"/>
      <c r="D105" s="44"/>
      <c r="E105" s="45"/>
      <c r="F105" s="35"/>
      <c r="G105" s="47"/>
      <c r="H105" s="74">
        <v>43634</v>
      </c>
      <c r="I105" s="79">
        <v>-100823.83</v>
      </c>
      <c r="J105" s="80" t="s">
        <v>42</v>
      </c>
      <c r="K105" s="67" t="s">
        <v>43</v>
      </c>
      <c r="L105" s="63"/>
      <c r="M105" s="64"/>
      <c r="N105" s="64"/>
      <c r="O105" s="63"/>
    </row>
    <row r="106" s="10" customFormat="1" ht="18" customHeight="1" spans="1:15">
      <c r="A106" s="42"/>
      <c r="B106" s="35">
        <f t="shared" si="12"/>
        <v>0</v>
      </c>
      <c r="C106" s="43"/>
      <c r="D106" s="44"/>
      <c r="E106" s="45"/>
      <c r="F106" s="35">
        <f t="shared" si="13"/>
        <v>0</v>
      </c>
      <c r="G106" s="47"/>
      <c r="H106" s="74">
        <v>43636</v>
      </c>
      <c r="I106" s="79">
        <v>101600</v>
      </c>
      <c r="J106" s="80" t="s">
        <v>134</v>
      </c>
      <c r="K106" s="67" t="s">
        <v>46</v>
      </c>
      <c r="L106" s="63" t="s">
        <v>47</v>
      </c>
      <c r="M106" s="64"/>
      <c r="N106" s="64"/>
      <c r="O106" s="63"/>
    </row>
    <row r="107" s="10" customFormat="1" ht="18" customHeight="1" spans="1:15">
      <c r="A107" s="42"/>
      <c r="B107" s="35"/>
      <c r="C107" s="43"/>
      <c r="D107" s="44"/>
      <c r="E107" s="45"/>
      <c r="F107" s="35"/>
      <c r="G107" s="47"/>
      <c r="H107" s="74">
        <v>43636</v>
      </c>
      <c r="I107" s="79">
        <v>-101600</v>
      </c>
      <c r="J107" s="80" t="s">
        <v>42</v>
      </c>
      <c r="K107" s="67" t="s">
        <v>43</v>
      </c>
      <c r="L107" s="63"/>
      <c r="M107" s="64"/>
      <c r="N107" s="64"/>
      <c r="O107" s="63"/>
    </row>
    <row r="108" s="10" customFormat="1" ht="18" customHeight="1" spans="1:15">
      <c r="A108" s="42"/>
      <c r="B108" s="35">
        <f t="shared" si="12"/>
        <v>0</v>
      </c>
      <c r="C108" s="43"/>
      <c r="D108" s="44"/>
      <c r="E108" s="45"/>
      <c r="F108" s="35">
        <f t="shared" si="13"/>
        <v>0</v>
      </c>
      <c r="G108" s="47"/>
      <c r="H108" s="74">
        <v>43641</v>
      </c>
      <c r="I108" s="79">
        <v>165186</v>
      </c>
      <c r="J108" s="80" t="s">
        <v>134</v>
      </c>
      <c r="K108" s="67" t="s">
        <v>137</v>
      </c>
      <c r="L108" s="63" t="s">
        <v>138</v>
      </c>
      <c r="M108" s="64"/>
      <c r="N108" s="64"/>
      <c r="O108" s="63"/>
    </row>
    <row r="109" s="10" customFormat="1" ht="18" customHeight="1" spans="1:15">
      <c r="A109" s="42"/>
      <c r="B109" s="35"/>
      <c r="C109" s="43"/>
      <c r="D109" s="44"/>
      <c r="E109" s="45"/>
      <c r="F109" s="35"/>
      <c r="G109" s="47"/>
      <c r="H109" s="74">
        <v>43641</v>
      </c>
      <c r="I109" s="79">
        <v>-165186</v>
      </c>
      <c r="J109" s="80" t="s">
        <v>42</v>
      </c>
      <c r="K109" s="67" t="s">
        <v>43</v>
      </c>
      <c r="L109" s="63"/>
      <c r="M109" s="64"/>
      <c r="N109" s="64"/>
      <c r="O109" s="63"/>
    </row>
    <row r="110" s="10" customFormat="1" ht="18" customHeight="1" spans="1:15">
      <c r="A110" s="42">
        <v>43647</v>
      </c>
      <c r="B110" s="35">
        <f t="shared" si="12"/>
        <v>340353.98</v>
      </c>
      <c r="C110" s="43"/>
      <c r="D110" s="44" t="s">
        <v>37</v>
      </c>
      <c r="E110" s="45">
        <v>0.13</v>
      </c>
      <c r="F110" s="35">
        <f t="shared" si="13"/>
        <v>44246.02</v>
      </c>
      <c r="G110" s="47">
        <f>80000*3+21600+99000+24000</f>
        <v>384600</v>
      </c>
      <c r="H110" s="48">
        <v>43651</v>
      </c>
      <c r="I110" s="65">
        <v>104000</v>
      </c>
      <c r="J110" s="68" t="s">
        <v>134</v>
      </c>
      <c r="K110" s="67" t="s">
        <v>46</v>
      </c>
      <c r="L110" s="63" t="s">
        <v>47</v>
      </c>
      <c r="M110" s="64"/>
      <c r="N110" s="64"/>
      <c r="O110" s="63"/>
    </row>
    <row r="111" s="10" customFormat="1" ht="18" customHeight="1" spans="1:15">
      <c r="A111" s="42"/>
      <c r="B111" s="35"/>
      <c r="C111" s="43"/>
      <c r="D111" s="44"/>
      <c r="E111" s="45"/>
      <c r="F111" s="35"/>
      <c r="G111" s="47"/>
      <c r="H111" s="48">
        <v>43651</v>
      </c>
      <c r="I111" s="65">
        <v>-104000</v>
      </c>
      <c r="J111" s="68" t="s">
        <v>42</v>
      </c>
      <c r="K111" s="67" t="s">
        <v>43</v>
      </c>
      <c r="L111" s="63"/>
      <c r="M111" s="64"/>
      <c r="N111" s="64"/>
      <c r="O111" s="63"/>
    </row>
    <row r="112" s="10" customFormat="1" ht="18" customHeight="1" spans="1:15">
      <c r="A112" s="42"/>
      <c r="B112" s="35">
        <f t="shared" si="12"/>
        <v>0</v>
      </c>
      <c r="C112" s="43"/>
      <c r="D112" s="44"/>
      <c r="E112" s="45"/>
      <c r="F112" s="35">
        <f t="shared" si="13"/>
        <v>0</v>
      </c>
      <c r="G112" s="47"/>
      <c r="H112" s="48">
        <v>43665</v>
      </c>
      <c r="I112" s="65">
        <v>109600</v>
      </c>
      <c r="J112" s="68" t="s">
        <v>134</v>
      </c>
      <c r="K112" s="67" t="s">
        <v>46</v>
      </c>
      <c r="L112" s="63" t="s">
        <v>47</v>
      </c>
      <c r="M112" s="64"/>
      <c r="N112" s="64"/>
      <c r="O112" s="63"/>
    </row>
    <row r="113" s="10" customFormat="1" ht="18" customHeight="1" spans="1:15">
      <c r="A113" s="42"/>
      <c r="B113" s="35">
        <f t="shared" si="12"/>
        <v>0</v>
      </c>
      <c r="C113" s="43"/>
      <c r="D113" s="44"/>
      <c r="E113" s="45"/>
      <c r="F113" s="35">
        <f t="shared" si="13"/>
        <v>0</v>
      </c>
      <c r="G113" s="47"/>
      <c r="H113" s="48">
        <v>43665</v>
      </c>
      <c r="I113" s="65">
        <v>-109600</v>
      </c>
      <c r="J113" s="68" t="s">
        <v>42</v>
      </c>
      <c r="K113" s="67" t="s">
        <v>43</v>
      </c>
      <c r="L113" s="63"/>
      <c r="M113" s="64"/>
      <c r="N113" s="64"/>
      <c r="O113" s="63"/>
    </row>
    <row r="114" s="10" customFormat="1" ht="18" customHeight="1" spans="1:15">
      <c r="A114" s="42">
        <v>43647</v>
      </c>
      <c r="B114" s="35">
        <f t="shared" si="12"/>
        <v>4920.35</v>
      </c>
      <c r="C114" s="43"/>
      <c r="D114" s="44" t="s">
        <v>37</v>
      </c>
      <c r="E114" s="45">
        <v>0.13</v>
      </c>
      <c r="F114" s="35">
        <f t="shared" si="13"/>
        <v>639.65</v>
      </c>
      <c r="G114" s="47">
        <v>5560</v>
      </c>
      <c r="H114" s="75"/>
      <c r="I114" s="81"/>
      <c r="J114" s="82"/>
      <c r="K114" s="67" t="s">
        <v>139</v>
      </c>
      <c r="L114" s="63" t="s">
        <v>140</v>
      </c>
      <c r="M114" s="64"/>
      <c r="N114" s="64"/>
      <c r="O114" s="63"/>
    </row>
    <row r="115" s="10" customFormat="1" ht="18" customHeight="1" spans="1:15">
      <c r="A115" s="42">
        <v>43647</v>
      </c>
      <c r="B115" s="35">
        <f t="shared" si="12"/>
        <v>1018.58</v>
      </c>
      <c r="C115" s="43"/>
      <c r="D115" s="44" t="s">
        <v>37</v>
      </c>
      <c r="E115" s="45">
        <v>0.13</v>
      </c>
      <c r="F115" s="35">
        <f t="shared" si="13"/>
        <v>132.42</v>
      </c>
      <c r="G115" s="47">
        <v>1151</v>
      </c>
      <c r="H115" s="34"/>
      <c r="I115" s="71"/>
      <c r="J115" s="64"/>
      <c r="K115" s="67" t="s">
        <v>141</v>
      </c>
      <c r="L115" s="63" t="s">
        <v>142</v>
      </c>
      <c r="M115" s="64"/>
      <c r="N115" s="64"/>
      <c r="O115" s="63"/>
    </row>
    <row r="116" s="10" customFormat="1" ht="18" customHeight="1" spans="1:15">
      <c r="A116" s="42">
        <v>43647</v>
      </c>
      <c r="B116" s="35">
        <f t="shared" si="12"/>
        <v>1087.38</v>
      </c>
      <c r="C116" s="43"/>
      <c r="D116" s="44" t="s">
        <v>37</v>
      </c>
      <c r="E116" s="45">
        <v>0.03</v>
      </c>
      <c r="F116" s="35">
        <f t="shared" si="13"/>
        <v>32.62</v>
      </c>
      <c r="G116" s="47">
        <v>1120</v>
      </c>
      <c r="H116" s="34"/>
      <c r="I116" s="71"/>
      <c r="J116" s="64"/>
      <c r="K116" s="67" t="s">
        <v>143</v>
      </c>
      <c r="L116" s="63" t="s">
        <v>144</v>
      </c>
      <c r="M116" s="64"/>
      <c r="N116" s="64"/>
      <c r="O116" s="63"/>
    </row>
    <row r="117" s="10" customFormat="1" ht="18" customHeight="1" spans="1:15">
      <c r="A117" s="42">
        <v>43647</v>
      </c>
      <c r="B117" s="35">
        <f t="shared" si="12"/>
        <v>1509.43</v>
      </c>
      <c r="C117" s="43"/>
      <c r="D117" s="44" t="s">
        <v>37</v>
      </c>
      <c r="E117" s="45">
        <v>0.06</v>
      </c>
      <c r="F117" s="35">
        <f t="shared" si="13"/>
        <v>90.57</v>
      </c>
      <c r="G117" s="47">
        <f>800+800</f>
        <v>1600</v>
      </c>
      <c r="H117" s="34"/>
      <c r="I117" s="71"/>
      <c r="J117" s="64"/>
      <c r="K117" s="67" t="s">
        <v>145</v>
      </c>
      <c r="L117" s="63" t="s">
        <v>67</v>
      </c>
      <c r="M117" s="64"/>
      <c r="N117" s="64"/>
      <c r="O117" s="63"/>
    </row>
    <row r="118" s="10" customFormat="1" ht="18" customHeight="1" spans="1:15">
      <c r="A118" s="42">
        <v>43647</v>
      </c>
      <c r="B118" s="35">
        <f t="shared" si="12"/>
        <v>4426.55</v>
      </c>
      <c r="C118" s="43"/>
      <c r="D118" s="44" t="s">
        <v>37</v>
      </c>
      <c r="E118" s="45">
        <v>0.13</v>
      </c>
      <c r="F118" s="35">
        <f t="shared" si="13"/>
        <v>575.45</v>
      </c>
      <c r="G118" s="47">
        <v>5002</v>
      </c>
      <c r="H118" s="34"/>
      <c r="I118" s="71"/>
      <c r="J118" s="64"/>
      <c r="K118" s="67" t="s">
        <v>112</v>
      </c>
      <c r="L118" s="63" t="s">
        <v>58</v>
      </c>
      <c r="M118" s="64"/>
      <c r="N118" s="64"/>
      <c r="O118" s="63"/>
    </row>
    <row r="119" s="10" customFormat="1" ht="18" customHeight="1" spans="1:15">
      <c r="A119" s="42">
        <v>43647</v>
      </c>
      <c r="B119" s="35">
        <f t="shared" si="12"/>
        <v>1081</v>
      </c>
      <c r="C119" s="43"/>
      <c r="D119" s="44" t="s">
        <v>53</v>
      </c>
      <c r="E119" s="45"/>
      <c r="F119" s="35">
        <f t="shared" si="13"/>
        <v>0</v>
      </c>
      <c r="G119" s="47">
        <f>291+138+652</f>
        <v>1081</v>
      </c>
      <c r="H119" s="34"/>
      <c r="I119" s="71"/>
      <c r="J119" s="64"/>
      <c r="K119" s="67" t="s">
        <v>146</v>
      </c>
      <c r="L119" s="63" t="s">
        <v>67</v>
      </c>
      <c r="M119" s="64"/>
      <c r="N119" s="64"/>
      <c r="O119" s="63"/>
    </row>
    <row r="120" s="10" customFormat="1" ht="18" customHeight="1" spans="1:15">
      <c r="A120" s="42">
        <v>43647</v>
      </c>
      <c r="B120" s="35">
        <f t="shared" si="12"/>
        <v>3050</v>
      </c>
      <c r="C120" s="43"/>
      <c r="D120" s="44" t="s">
        <v>53</v>
      </c>
      <c r="E120" s="45"/>
      <c r="F120" s="35">
        <f t="shared" si="13"/>
        <v>0</v>
      </c>
      <c r="G120" s="47">
        <f>200+320+360+350+340+480+520+200+280</f>
        <v>3050</v>
      </c>
      <c r="H120" s="34"/>
      <c r="I120" s="71"/>
      <c r="J120" s="64"/>
      <c r="K120" s="67" t="s">
        <v>147</v>
      </c>
      <c r="L120" s="63" t="s">
        <v>62</v>
      </c>
      <c r="M120" s="64"/>
      <c r="N120" s="64"/>
      <c r="O120" s="63"/>
    </row>
    <row r="121" s="10" customFormat="1" ht="18" customHeight="1" spans="1:15">
      <c r="A121" s="42">
        <v>43647</v>
      </c>
      <c r="B121" s="35">
        <f t="shared" si="12"/>
        <v>500</v>
      </c>
      <c r="C121" s="43"/>
      <c r="D121" s="44" t="s">
        <v>53</v>
      </c>
      <c r="E121" s="45"/>
      <c r="F121" s="35">
        <f t="shared" si="13"/>
        <v>0</v>
      </c>
      <c r="G121" s="47">
        <v>500</v>
      </c>
      <c r="H121" s="34"/>
      <c r="I121" s="71"/>
      <c r="J121" s="64"/>
      <c r="K121" s="67" t="s">
        <v>104</v>
      </c>
      <c r="L121" s="63" t="s">
        <v>148</v>
      </c>
      <c r="M121" s="64"/>
      <c r="N121" s="64"/>
      <c r="O121" s="63"/>
    </row>
    <row r="122" s="10" customFormat="1" ht="18" customHeight="1" spans="1:15">
      <c r="A122" s="42">
        <v>43647</v>
      </c>
      <c r="B122" s="35">
        <f t="shared" si="12"/>
        <v>2475</v>
      </c>
      <c r="C122" s="43"/>
      <c r="D122" s="44" t="s">
        <v>53</v>
      </c>
      <c r="E122" s="45"/>
      <c r="F122" s="35">
        <f t="shared" si="13"/>
        <v>0</v>
      </c>
      <c r="G122" s="47">
        <v>2475</v>
      </c>
      <c r="H122" s="34"/>
      <c r="I122" s="71"/>
      <c r="J122" s="64"/>
      <c r="K122" s="67" t="s">
        <v>149</v>
      </c>
      <c r="L122" s="63" t="s">
        <v>150</v>
      </c>
      <c r="M122" s="64"/>
      <c r="N122" s="64"/>
      <c r="O122" s="63"/>
    </row>
    <row r="123" s="10" customFormat="1" ht="18" customHeight="1" spans="1:15">
      <c r="A123" s="42">
        <v>43647</v>
      </c>
      <c r="B123" s="35">
        <f t="shared" si="12"/>
        <v>4400</v>
      </c>
      <c r="C123" s="43"/>
      <c r="D123" s="44" t="s">
        <v>53</v>
      </c>
      <c r="E123" s="45"/>
      <c r="F123" s="35">
        <f t="shared" si="13"/>
        <v>0</v>
      </c>
      <c r="G123" s="47">
        <v>4400</v>
      </c>
      <c r="H123" s="34"/>
      <c r="I123" s="71"/>
      <c r="J123" s="64"/>
      <c r="K123" s="67" t="s">
        <v>149</v>
      </c>
      <c r="L123" s="63" t="s">
        <v>151</v>
      </c>
      <c r="M123" s="64"/>
      <c r="N123" s="64"/>
      <c r="O123" s="63"/>
    </row>
    <row r="124" s="10" customFormat="1" ht="18" customHeight="1" spans="1:15">
      <c r="A124" s="42">
        <v>43647</v>
      </c>
      <c r="B124" s="35">
        <f t="shared" si="12"/>
        <v>5700</v>
      </c>
      <c r="C124" s="43"/>
      <c r="D124" s="44" t="s">
        <v>53</v>
      </c>
      <c r="E124" s="45"/>
      <c r="F124" s="35">
        <f t="shared" si="13"/>
        <v>0</v>
      </c>
      <c r="G124" s="47">
        <v>5700</v>
      </c>
      <c r="H124" s="34"/>
      <c r="I124" s="71"/>
      <c r="J124" s="64"/>
      <c r="K124" s="67" t="s">
        <v>98</v>
      </c>
      <c r="L124" s="63" t="s">
        <v>152</v>
      </c>
      <c r="M124" s="64"/>
      <c r="N124" s="64"/>
      <c r="O124" s="63"/>
    </row>
    <row r="125" s="10" customFormat="1" ht="18" customHeight="1" spans="1:15">
      <c r="A125" s="42">
        <v>43647</v>
      </c>
      <c r="B125" s="35">
        <f t="shared" si="12"/>
        <v>5547</v>
      </c>
      <c r="C125" s="43"/>
      <c r="D125" s="44" t="s">
        <v>53</v>
      </c>
      <c r="E125" s="45"/>
      <c r="F125" s="35">
        <f t="shared" si="13"/>
        <v>0</v>
      </c>
      <c r="G125" s="47">
        <v>5547</v>
      </c>
      <c r="H125" s="34"/>
      <c r="I125" s="71"/>
      <c r="J125" s="64"/>
      <c r="K125" s="67" t="s">
        <v>153</v>
      </c>
      <c r="L125" s="63" t="s">
        <v>154</v>
      </c>
      <c r="M125" s="64"/>
      <c r="N125" s="64"/>
      <c r="O125" s="63"/>
    </row>
    <row r="126" s="10" customFormat="1" ht="18" customHeight="1" spans="1:15">
      <c r="A126" s="42">
        <v>43647</v>
      </c>
      <c r="B126" s="35">
        <f t="shared" si="12"/>
        <v>360</v>
      </c>
      <c r="C126" s="43"/>
      <c r="D126" s="44" t="s">
        <v>53</v>
      </c>
      <c r="E126" s="45"/>
      <c r="F126" s="35">
        <f t="shared" si="13"/>
        <v>0</v>
      </c>
      <c r="G126" s="47">
        <v>360</v>
      </c>
      <c r="H126" s="34"/>
      <c r="I126" s="71"/>
      <c r="J126" s="64"/>
      <c r="K126" s="67" t="s">
        <v>155</v>
      </c>
      <c r="L126" s="63" t="s">
        <v>156</v>
      </c>
      <c r="M126" s="64"/>
      <c r="N126" s="64"/>
      <c r="O126" s="63"/>
    </row>
    <row r="127" s="10" customFormat="1" ht="18" customHeight="1" spans="1:15">
      <c r="A127" s="42">
        <v>43647</v>
      </c>
      <c r="B127" s="35">
        <f t="shared" si="12"/>
        <v>868.5</v>
      </c>
      <c r="C127" s="43"/>
      <c r="D127" s="44" t="s">
        <v>53</v>
      </c>
      <c r="E127" s="45"/>
      <c r="F127" s="35">
        <f t="shared" si="13"/>
        <v>0</v>
      </c>
      <c r="G127" s="47">
        <v>868.5</v>
      </c>
      <c r="H127" s="34"/>
      <c r="I127" s="71"/>
      <c r="J127" s="64"/>
      <c r="K127" s="67" t="s">
        <v>157</v>
      </c>
      <c r="L127" s="63" t="s">
        <v>158</v>
      </c>
      <c r="M127" s="64"/>
      <c r="N127" s="64"/>
      <c r="O127" s="63"/>
    </row>
    <row r="128" s="10" customFormat="1" ht="18" customHeight="1" spans="1:15">
      <c r="A128" s="42">
        <v>43647</v>
      </c>
      <c r="B128" s="35">
        <f t="shared" si="12"/>
        <v>1345</v>
      </c>
      <c r="C128" s="43"/>
      <c r="D128" s="44" t="s">
        <v>53</v>
      </c>
      <c r="E128" s="45"/>
      <c r="F128" s="35">
        <f t="shared" si="13"/>
        <v>0</v>
      </c>
      <c r="G128" s="47">
        <f>10*9+15*44+25*3+30*7+35*4+40+31*2+34*2</f>
        <v>1345</v>
      </c>
      <c r="H128" s="34"/>
      <c r="I128" s="71"/>
      <c r="J128" s="64"/>
      <c r="K128" s="63" t="s">
        <v>106</v>
      </c>
      <c r="L128" s="63" t="s">
        <v>106</v>
      </c>
      <c r="M128" s="64"/>
      <c r="N128" s="64"/>
      <c r="O128" s="63"/>
    </row>
    <row r="129" s="10" customFormat="1" ht="18" customHeight="1" spans="1:15">
      <c r="A129" s="42">
        <v>43647</v>
      </c>
      <c r="B129" s="35">
        <f t="shared" si="12"/>
        <v>102654.87</v>
      </c>
      <c r="C129" s="43"/>
      <c r="D129" s="44" t="s">
        <v>37</v>
      </c>
      <c r="E129" s="45">
        <v>0.13</v>
      </c>
      <c r="F129" s="35">
        <f t="shared" si="13"/>
        <v>13345.13</v>
      </c>
      <c r="G129" s="47">
        <f>80000+36000</f>
        <v>116000</v>
      </c>
      <c r="H129" s="34">
        <v>43675</v>
      </c>
      <c r="I129" s="71">
        <v>116000</v>
      </c>
      <c r="J129" s="64" t="s">
        <v>134</v>
      </c>
      <c r="K129" s="67" t="s">
        <v>46</v>
      </c>
      <c r="L129" s="63" t="s">
        <v>47</v>
      </c>
      <c r="M129" s="64"/>
      <c r="N129" s="64"/>
      <c r="O129" s="63"/>
    </row>
    <row r="130" s="10" customFormat="1" ht="18" customHeight="1" spans="1:15">
      <c r="A130" s="42"/>
      <c r="B130" s="35">
        <f t="shared" si="12"/>
        <v>0</v>
      </c>
      <c r="C130" s="43"/>
      <c r="D130" s="44"/>
      <c r="E130" s="45"/>
      <c r="F130" s="35">
        <f t="shared" si="13"/>
        <v>0</v>
      </c>
      <c r="G130" s="47"/>
      <c r="H130" s="34">
        <v>43676</v>
      </c>
      <c r="I130" s="71">
        <v>-116000</v>
      </c>
      <c r="J130" s="64" t="s">
        <v>42</v>
      </c>
      <c r="K130" s="67" t="s">
        <v>43</v>
      </c>
      <c r="L130" s="63"/>
      <c r="M130" s="64"/>
      <c r="N130" s="64"/>
      <c r="O130" s="63"/>
    </row>
    <row r="131" s="10" customFormat="1" ht="18" customHeight="1" spans="1:15">
      <c r="A131" s="42">
        <v>43647</v>
      </c>
      <c r="B131" s="35">
        <f t="shared" si="12"/>
        <v>484951.46</v>
      </c>
      <c r="C131" s="43"/>
      <c r="D131" s="44" t="s">
        <v>37</v>
      </c>
      <c r="E131" s="45">
        <v>0.03</v>
      </c>
      <c r="F131" s="35">
        <f t="shared" si="13"/>
        <v>14548.54</v>
      </c>
      <c r="G131" s="47">
        <v>499500</v>
      </c>
      <c r="H131" s="34">
        <v>43679</v>
      </c>
      <c r="I131" s="71">
        <v>499500</v>
      </c>
      <c r="J131" s="64" t="s">
        <v>134</v>
      </c>
      <c r="K131" s="62" t="s">
        <v>110</v>
      </c>
      <c r="L131" s="63" t="s">
        <v>159</v>
      </c>
      <c r="M131" s="64"/>
      <c r="N131" s="64"/>
      <c r="O131" s="63"/>
    </row>
    <row r="132" s="10" customFormat="1" ht="18" customHeight="1" spans="1:15">
      <c r="A132" s="42">
        <v>43647</v>
      </c>
      <c r="B132" s="35">
        <f t="shared" si="12"/>
        <v>1259951.46</v>
      </c>
      <c r="C132" s="43"/>
      <c r="D132" s="44" t="s">
        <v>37</v>
      </c>
      <c r="E132" s="45">
        <v>0.03</v>
      </c>
      <c r="F132" s="35">
        <f t="shared" si="13"/>
        <v>37798.54</v>
      </c>
      <c r="G132" s="47">
        <f>99950*6+99900+99600+99600+99600+99800+99600+99950</f>
        <v>1297750</v>
      </c>
      <c r="H132" s="34">
        <v>43679</v>
      </c>
      <c r="I132" s="71">
        <v>1297750</v>
      </c>
      <c r="J132" s="64" t="s">
        <v>134</v>
      </c>
      <c r="K132" s="67" t="s">
        <v>160</v>
      </c>
      <c r="L132" s="63" t="s">
        <v>161</v>
      </c>
      <c r="M132" s="64"/>
      <c r="N132" s="64"/>
      <c r="O132" s="63"/>
    </row>
    <row r="133" s="10" customFormat="1" ht="18" customHeight="1" spans="1:15">
      <c r="A133" s="42">
        <v>43647</v>
      </c>
      <c r="B133" s="35">
        <f t="shared" si="12"/>
        <v>176932.74</v>
      </c>
      <c r="C133" s="43"/>
      <c r="D133" s="44" t="s">
        <v>37</v>
      </c>
      <c r="E133" s="45">
        <v>0.13</v>
      </c>
      <c r="F133" s="35">
        <f t="shared" si="13"/>
        <v>23001.26</v>
      </c>
      <c r="G133" s="47">
        <f>67546+132388</f>
        <v>199934</v>
      </c>
      <c r="H133" s="34"/>
      <c r="I133" s="71"/>
      <c r="J133" s="64"/>
      <c r="K133" s="67" t="s">
        <v>137</v>
      </c>
      <c r="L133" s="63" t="s">
        <v>138</v>
      </c>
      <c r="M133" s="64"/>
      <c r="N133" s="64"/>
      <c r="O133" s="63"/>
    </row>
    <row r="134" s="10" customFormat="1" ht="18" customHeight="1" spans="1:15">
      <c r="A134" s="42">
        <v>43647</v>
      </c>
      <c r="B134" s="35">
        <f t="shared" si="12"/>
        <v>16407.77</v>
      </c>
      <c r="C134" s="43"/>
      <c r="D134" s="44" t="s">
        <v>37</v>
      </c>
      <c r="E134" s="45">
        <v>0.03</v>
      </c>
      <c r="F134" s="35">
        <f t="shared" si="13"/>
        <v>492.23</v>
      </c>
      <c r="G134" s="47">
        <v>16900</v>
      </c>
      <c r="H134" s="34"/>
      <c r="I134" s="71"/>
      <c r="J134" s="64"/>
      <c r="K134" s="67" t="s">
        <v>51</v>
      </c>
      <c r="L134" s="63" t="s">
        <v>55</v>
      </c>
      <c r="M134" s="64"/>
      <c r="N134" s="64"/>
      <c r="O134" s="63"/>
    </row>
    <row r="135" s="10" customFormat="1" ht="18" customHeight="1" spans="1:15">
      <c r="A135" s="42"/>
      <c r="B135" s="35">
        <f t="shared" si="12"/>
        <v>0</v>
      </c>
      <c r="C135" s="43"/>
      <c r="D135" s="44"/>
      <c r="E135" s="45"/>
      <c r="F135" s="35">
        <f t="shared" si="13"/>
        <v>0</v>
      </c>
      <c r="G135" s="47"/>
      <c r="H135" s="34">
        <v>43679</v>
      </c>
      <c r="I135" s="71">
        <v>800000</v>
      </c>
      <c r="J135" s="64" t="s">
        <v>42</v>
      </c>
      <c r="K135" s="67" t="s">
        <v>162</v>
      </c>
      <c r="L135" s="63" t="s">
        <v>163</v>
      </c>
      <c r="M135" s="64"/>
      <c r="N135" s="64"/>
      <c r="O135" s="63"/>
    </row>
    <row r="136" s="10" customFormat="1" ht="18" customHeight="1" spans="1:15">
      <c r="A136" s="42">
        <v>43647</v>
      </c>
      <c r="B136" s="35">
        <f t="shared" si="12"/>
        <v>4975</v>
      </c>
      <c r="C136" s="43"/>
      <c r="D136" s="44" t="s">
        <v>53</v>
      </c>
      <c r="E136" s="45"/>
      <c r="F136" s="35">
        <f t="shared" si="13"/>
        <v>0</v>
      </c>
      <c r="G136" s="47">
        <f>285+300+430+340+340+320+330+200+310+100+100+200+500+280+440+500</f>
        <v>4975</v>
      </c>
      <c r="H136" s="34"/>
      <c r="I136" s="71"/>
      <c r="J136" s="64"/>
      <c r="K136" s="67" t="s">
        <v>147</v>
      </c>
      <c r="L136" s="63" t="s">
        <v>62</v>
      </c>
      <c r="M136" s="64"/>
      <c r="N136" s="64"/>
      <c r="O136" s="63"/>
    </row>
    <row r="137" s="10" customFormat="1" ht="18" customHeight="1" spans="1:15">
      <c r="A137" s="42">
        <v>43647</v>
      </c>
      <c r="B137" s="35">
        <f t="shared" si="12"/>
        <v>1760</v>
      </c>
      <c r="C137" s="43"/>
      <c r="D137" s="44" t="s">
        <v>53</v>
      </c>
      <c r="E137" s="45"/>
      <c r="F137" s="35">
        <f t="shared" si="13"/>
        <v>0</v>
      </c>
      <c r="G137" s="47">
        <v>1760</v>
      </c>
      <c r="H137" s="34"/>
      <c r="I137" s="71"/>
      <c r="J137" s="64"/>
      <c r="K137" s="67" t="s">
        <v>70</v>
      </c>
      <c r="L137" s="63" t="s">
        <v>164</v>
      </c>
      <c r="M137" s="64"/>
      <c r="N137" s="64"/>
      <c r="O137" s="63"/>
    </row>
    <row r="138" s="10" customFormat="1" ht="18" customHeight="1" spans="1:15">
      <c r="A138" s="42">
        <v>43647</v>
      </c>
      <c r="B138" s="35">
        <f t="shared" si="12"/>
        <v>450</v>
      </c>
      <c r="C138" s="43"/>
      <c r="D138" s="44" t="s">
        <v>53</v>
      </c>
      <c r="E138" s="45"/>
      <c r="F138" s="35">
        <f t="shared" si="13"/>
        <v>0</v>
      </c>
      <c r="G138" s="47">
        <v>450</v>
      </c>
      <c r="H138" s="34"/>
      <c r="I138" s="71"/>
      <c r="J138" s="64"/>
      <c r="K138" s="67" t="s">
        <v>85</v>
      </c>
      <c r="L138" s="63" t="s">
        <v>58</v>
      </c>
      <c r="M138" s="64"/>
      <c r="N138" s="64"/>
      <c r="O138" s="63"/>
    </row>
    <row r="139" s="10" customFormat="1" ht="18" customHeight="1" spans="1:15">
      <c r="A139" s="42">
        <v>43647</v>
      </c>
      <c r="B139" s="35">
        <f t="shared" si="12"/>
        <v>3300</v>
      </c>
      <c r="C139" s="43"/>
      <c r="D139" s="44" t="s">
        <v>53</v>
      </c>
      <c r="E139" s="45"/>
      <c r="F139" s="35">
        <f t="shared" si="13"/>
        <v>0</v>
      </c>
      <c r="G139" s="47">
        <v>3300</v>
      </c>
      <c r="H139" s="34"/>
      <c r="I139" s="71"/>
      <c r="J139" s="64"/>
      <c r="K139" s="67" t="s">
        <v>165</v>
      </c>
      <c r="L139" s="63" t="s">
        <v>166</v>
      </c>
      <c r="M139" s="64"/>
      <c r="N139" s="64"/>
      <c r="O139" s="63"/>
    </row>
    <row r="140" s="10" customFormat="1" ht="18" customHeight="1" spans="1:15">
      <c r="A140" s="42">
        <v>43647</v>
      </c>
      <c r="B140" s="35">
        <f t="shared" si="12"/>
        <v>850</v>
      </c>
      <c r="C140" s="43"/>
      <c r="D140" s="44" t="s">
        <v>53</v>
      </c>
      <c r="E140" s="45"/>
      <c r="F140" s="35">
        <f t="shared" si="13"/>
        <v>0</v>
      </c>
      <c r="G140" s="47">
        <v>850</v>
      </c>
      <c r="H140" s="34"/>
      <c r="I140" s="71"/>
      <c r="J140" s="64"/>
      <c r="K140" s="67" t="s">
        <v>167</v>
      </c>
      <c r="L140" s="63" t="s">
        <v>168</v>
      </c>
      <c r="M140" s="64"/>
      <c r="N140" s="64"/>
      <c r="O140" s="63"/>
    </row>
    <row r="141" s="10" customFormat="1" ht="18" customHeight="1" spans="1:15">
      <c r="A141" s="42">
        <v>43647</v>
      </c>
      <c r="B141" s="35">
        <f t="shared" si="12"/>
        <v>390</v>
      </c>
      <c r="C141" s="43"/>
      <c r="D141" s="44" t="s">
        <v>53</v>
      </c>
      <c r="E141" s="45"/>
      <c r="F141" s="35">
        <f t="shared" si="13"/>
        <v>0</v>
      </c>
      <c r="G141" s="47">
        <v>390</v>
      </c>
      <c r="H141" s="34"/>
      <c r="I141" s="71"/>
      <c r="J141" s="64"/>
      <c r="K141" s="67" t="s">
        <v>85</v>
      </c>
      <c r="L141" s="63" t="s">
        <v>169</v>
      </c>
      <c r="M141" s="64"/>
      <c r="N141" s="64"/>
      <c r="O141" s="63"/>
    </row>
    <row r="142" s="10" customFormat="1" ht="18" customHeight="1" spans="1:15">
      <c r="A142" s="42">
        <v>43647</v>
      </c>
      <c r="B142" s="35">
        <f t="shared" si="12"/>
        <v>243</v>
      </c>
      <c r="C142" s="43"/>
      <c r="D142" s="44" t="s">
        <v>53</v>
      </c>
      <c r="E142" s="45"/>
      <c r="F142" s="35">
        <f t="shared" si="13"/>
        <v>0</v>
      </c>
      <c r="G142" s="47">
        <v>243</v>
      </c>
      <c r="H142" s="34"/>
      <c r="I142" s="71"/>
      <c r="J142" s="64"/>
      <c r="K142" s="67" t="s">
        <v>170</v>
      </c>
      <c r="L142" s="63" t="s">
        <v>171</v>
      </c>
      <c r="M142" s="64"/>
      <c r="N142" s="64"/>
      <c r="O142" s="63"/>
    </row>
    <row r="143" s="10" customFormat="1" ht="18" customHeight="1" spans="1:15">
      <c r="A143" s="42">
        <v>43647</v>
      </c>
      <c r="B143" s="35">
        <f t="shared" si="12"/>
        <v>975</v>
      </c>
      <c r="C143" s="43"/>
      <c r="D143" s="44" t="s">
        <v>53</v>
      </c>
      <c r="E143" s="45"/>
      <c r="F143" s="35">
        <f t="shared" si="13"/>
        <v>0</v>
      </c>
      <c r="G143" s="47">
        <v>975</v>
      </c>
      <c r="H143" s="34"/>
      <c r="I143" s="71"/>
      <c r="J143" s="64"/>
      <c r="K143" s="67" t="s">
        <v>157</v>
      </c>
      <c r="L143" s="63" t="s">
        <v>158</v>
      </c>
      <c r="M143" s="64"/>
      <c r="N143" s="64"/>
      <c r="O143" s="63"/>
    </row>
    <row r="144" s="10" customFormat="1" ht="18" customHeight="1" spans="1:15">
      <c r="A144" s="42">
        <v>43647</v>
      </c>
      <c r="B144" s="35">
        <f t="shared" si="12"/>
        <v>3235</v>
      </c>
      <c r="C144" s="43"/>
      <c r="D144" s="44" t="s">
        <v>53</v>
      </c>
      <c r="E144" s="45"/>
      <c r="F144" s="35">
        <f t="shared" si="13"/>
        <v>0</v>
      </c>
      <c r="G144" s="47">
        <v>3235</v>
      </c>
      <c r="H144" s="34"/>
      <c r="I144" s="71"/>
      <c r="J144" s="64"/>
      <c r="K144" s="67" t="s">
        <v>70</v>
      </c>
      <c r="L144" s="63" t="s">
        <v>172</v>
      </c>
      <c r="M144" s="64"/>
      <c r="N144" s="64"/>
      <c r="O144" s="63"/>
    </row>
    <row r="145" s="10" customFormat="1" ht="18" customHeight="1" spans="1:15">
      <c r="A145" s="42">
        <v>43647</v>
      </c>
      <c r="B145" s="35">
        <f t="shared" si="12"/>
        <v>9991</v>
      </c>
      <c r="C145" s="43"/>
      <c r="D145" s="44" t="s">
        <v>53</v>
      </c>
      <c r="E145" s="45"/>
      <c r="F145" s="35">
        <f t="shared" si="13"/>
        <v>0</v>
      </c>
      <c r="G145" s="47">
        <v>9991</v>
      </c>
      <c r="H145" s="34"/>
      <c r="I145" s="71"/>
      <c r="J145" s="64"/>
      <c r="K145" s="67" t="s">
        <v>173</v>
      </c>
      <c r="L145" s="63" t="s">
        <v>174</v>
      </c>
      <c r="M145" s="64" t="s">
        <v>175</v>
      </c>
      <c r="N145" s="64"/>
      <c r="O145" s="63"/>
    </row>
    <row r="146" s="10" customFormat="1" ht="18" customHeight="1" spans="1:15">
      <c r="A146" s="42">
        <v>43647</v>
      </c>
      <c r="B146" s="35">
        <f t="shared" si="12"/>
        <v>3170</v>
      </c>
      <c r="C146" s="43"/>
      <c r="D146" s="44" t="s">
        <v>53</v>
      </c>
      <c r="E146" s="45"/>
      <c r="F146" s="35">
        <f t="shared" si="13"/>
        <v>0</v>
      </c>
      <c r="G146" s="47">
        <v>3170</v>
      </c>
      <c r="H146" s="34"/>
      <c r="I146" s="71"/>
      <c r="J146" s="64"/>
      <c r="K146" s="67" t="s">
        <v>176</v>
      </c>
      <c r="L146" s="63" t="s">
        <v>177</v>
      </c>
      <c r="M146" s="64"/>
      <c r="N146" s="64"/>
      <c r="O146" s="63"/>
    </row>
    <row r="147" s="10" customFormat="1" ht="18" customHeight="1" spans="1:15">
      <c r="A147" s="42">
        <v>43647</v>
      </c>
      <c r="B147" s="35">
        <f t="shared" si="12"/>
        <v>4360</v>
      </c>
      <c r="C147" s="43"/>
      <c r="D147" s="44" t="s">
        <v>53</v>
      </c>
      <c r="E147" s="45"/>
      <c r="F147" s="35">
        <f t="shared" si="13"/>
        <v>0</v>
      </c>
      <c r="G147" s="47">
        <v>4360</v>
      </c>
      <c r="H147" s="34"/>
      <c r="I147" s="71"/>
      <c r="J147" s="64"/>
      <c r="K147" s="67" t="s">
        <v>149</v>
      </c>
      <c r="L147" s="63" t="s">
        <v>151</v>
      </c>
      <c r="M147" s="64"/>
      <c r="N147" s="64"/>
      <c r="O147" s="63"/>
    </row>
    <row r="148" s="10" customFormat="1" ht="18" customHeight="1" spans="1:15">
      <c r="A148" s="42">
        <v>43647</v>
      </c>
      <c r="B148" s="35">
        <f t="shared" si="12"/>
        <v>8935</v>
      </c>
      <c r="C148" s="43"/>
      <c r="D148" s="44" t="s">
        <v>53</v>
      </c>
      <c r="E148" s="45"/>
      <c r="F148" s="35">
        <f t="shared" si="13"/>
        <v>0</v>
      </c>
      <c r="G148" s="47">
        <v>8935</v>
      </c>
      <c r="H148" s="34"/>
      <c r="I148" s="71"/>
      <c r="J148" s="64"/>
      <c r="K148" s="67" t="s">
        <v>149</v>
      </c>
      <c r="L148" s="63" t="s">
        <v>178</v>
      </c>
      <c r="M148" s="64"/>
      <c r="N148" s="64"/>
      <c r="O148" s="63"/>
    </row>
    <row r="149" s="10" customFormat="1" ht="18" customHeight="1" spans="1:15">
      <c r="A149" s="42">
        <v>43647</v>
      </c>
      <c r="B149" s="35">
        <f t="shared" si="12"/>
        <v>630</v>
      </c>
      <c r="C149" s="43"/>
      <c r="D149" s="44" t="s">
        <v>53</v>
      </c>
      <c r="E149" s="45"/>
      <c r="F149" s="35">
        <f t="shared" si="13"/>
        <v>0</v>
      </c>
      <c r="G149" s="47">
        <v>630</v>
      </c>
      <c r="H149" s="34"/>
      <c r="I149" s="71"/>
      <c r="J149" s="64"/>
      <c r="K149" s="67" t="s">
        <v>179</v>
      </c>
      <c r="L149" s="63" t="s">
        <v>180</v>
      </c>
      <c r="M149" s="64"/>
      <c r="N149" s="64"/>
      <c r="O149" s="63"/>
    </row>
    <row r="150" s="10" customFormat="1" ht="18" customHeight="1" spans="1:15">
      <c r="A150" s="42">
        <v>43647</v>
      </c>
      <c r="B150" s="35">
        <f t="shared" si="12"/>
        <v>2112</v>
      </c>
      <c r="C150" s="43"/>
      <c r="D150" s="44" t="s">
        <v>53</v>
      </c>
      <c r="E150" s="45"/>
      <c r="F150" s="35">
        <f t="shared" si="13"/>
        <v>0</v>
      </c>
      <c r="G150" s="47">
        <v>2112</v>
      </c>
      <c r="H150" s="34"/>
      <c r="I150" s="71"/>
      <c r="J150" s="64"/>
      <c r="K150" s="67" t="s">
        <v>181</v>
      </c>
      <c r="L150" s="63" t="s">
        <v>182</v>
      </c>
      <c r="M150" s="64"/>
      <c r="N150" s="64"/>
      <c r="O150" s="63"/>
    </row>
    <row r="151" s="10" customFormat="1" ht="18" customHeight="1" spans="1:15">
      <c r="A151" s="42">
        <v>43647</v>
      </c>
      <c r="B151" s="35">
        <f t="shared" si="12"/>
        <v>6350</v>
      </c>
      <c r="C151" s="43"/>
      <c r="D151" s="44" t="s">
        <v>53</v>
      </c>
      <c r="E151" s="45"/>
      <c r="F151" s="35">
        <f t="shared" si="13"/>
        <v>0</v>
      </c>
      <c r="G151" s="47">
        <v>6350</v>
      </c>
      <c r="H151" s="34"/>
      <c r="I151" s="71"/>
      <c r="J151" s="64"/>
      <c r="K151" s="67" t="s">
        <v>183</v>
      </c>
      <c r="L151" s="63" t="s">
        <v>184</v>
      </c>
      <c r="M151" s="64" t="s">
        <v>175</v>
      </c>
      <c r="N151" s="64"/>
      <c r="O151" s="63"/>
    </row>
    <row r="152" s="10" customFormat="1" ht="18" customHeight="1" spans="1:15">
      <c r="A152" s="42">
        <v>43647</v>
      </c>
      <c r="B152" s="35">
        <f t="shared" si="12"/>
        <v>9991</v>
      </c>
      <c r="C152" s="43"/>
      <c r="D152" s="44" t="s">
        <v>53</v>
      </c>
      <c r="E152" s="45"/>
      <c r="F152" s="35">
        <f t="shared" si="13"/>
        <v>0</v>
      </c>
      <c r="G152" s="47">
        <v>9991</v>
      </c>
      <c r="H152" s="34"/>
      <c r="I152" s="71"/>
      <c r="J152" s="64"/>
      <c r="K152" s="67" t="s">
        <v>132</v>
      </c>
      <c r="L152" s="63" t="s">
        <v>174</v>
      </c>
      <c r="M152" s="64" t="s">
        <v>175</v>
      </c>
      <c r="N152" s="64"/>
      <c r="O152" s="63"/>
    </row>
    <row r="153" s="10" customFormat="1" ht="18" customHeight="1" spans="1:15">
      <c r="A153" s="42">
        <v>43647</v>
      </c>
      <c r="B153" s="35">
        <f t="shared" si="12"/>
        <v>850</v>
      </c>
      <c r="C153" s="43"/>
      <c r="D153" s="44" t="s">
        <v>53</v>
      </c>
      <c r="E153" s="45"/>
      <c r="F153" s="35">
        <f t="shared" si="13"/>
        <v>0</v>
      </c>
      <c r="G153" s="47">
        <f>70+65+45+45+35+55+30+30+30+30+30+20+15+15+15+15+15+15+15+15+15+15+15+15+15+15+15+15+15+15+15+15+15+15+15+10+5+5</f>
        <v>850</v>
      </c>
      <c r="H153" s="34"/>
      <c r="I153" s="71"/>
      <c r="J153" s="64"/>
      <c r="K153" s="67" t="s">
        <v>185</v>
      </c>
      <c r="L153" s="63"/>
      <c r="M153" s="64"/>
      <c r="N153" s="64"/>
      <c r="O153" s="63"/>
    </row>
    <row r="154" s="10" customFormat="1" ht="18" customHeight="1" spans="1:15">
      <c r="A154" s="42">
        <v>43678</v>
      </c>
      <c r="B154" s="35">
        <f t="shared" ref="B154:B161" si="14">ROUND(G154/(1+E154),2)</f>
        <v>442477.88</v>
      </c>
      <c r="C154" s="43"/>
      <c r="D154" s="44" t="s">
        <v>37</v>
      </c>
      <c r="E154" s="83">
        <v>0.13</v>
      </c>
      <c r="F154" s="35">
        <f t="shared" ref="F154:F161" si="15">ROUND(G154/(1+E154)*E154,2)</f>
        <v>57522.12</v>
      </c>
      <c r="G154" s="47">
        <f>93950*2+91890+110105+110105</f>
        <v>500000</v>
      </c>
      <c r="H154" s="34">
        <v>43683</v>
      </c>
      <c r="I154" s="71">
        <v>500000</v>
      </c>
      <c r="J154" s="64" t="s">
        <v>134</v>
      </c>
      <c r="K154" s="67" t="s">
        <v>186</v>
      </c>
      <c r="L154" s="63" t="s">
        <v>187</v>
      </c>
      <c r="M154" s="64"/>
      <c r="N154" s="64"/>
      <c r="O154" s="63"/>
    </row>
    <row r="155" s="10" customFormat="1" ht="18" customHeight="1" spans="1:15">
      <c r="A155" s="42"/>
      <c r="B155" s="35">
        <f t="shared" si="14"/>
        <v>0</v>
      </c>
      <c r="C155" s="43"/>
      <c r="D155" s="44"/>
      <c r="E155" s="45"/>
      <c r="F155" s="35">
        <f t="shared" si="15"/>
        <v>0</v>
      </c>
      <c r="G155" s="47"/>
      <c r="H155" s="34">
        <v>43683</v>
      </c>
      <c r="I155" s="71">
        <v>1000000</v>
      </c>
      <c r="J155" s="64" t="s">
        <v>42</v>
      </c>
      <c r="K155" s="67" t="s">
        <v>43</v>
      </c>
      <c r="L155" s="63" t="s">
        <v>135</v>
      </c>
      <c r="M155" s="64"/>
      <c r="N155" s="64"/>
      <c r="O155" s="63"/>
    </row>
    <row r="156" s="10" customFormat="1" ht="18" customHeight="1" spans="1:15">
      <c r="A156" s="42">
        <v>43678</v>
      </c>
      <c r="B156" s="35">
        <f t="shared" si="14"/>
        <v>76127.43</v>
      </c>
      <c r="C156" s="43"/>
      <c r="D156" s="44" t="s">
        <v>37</v>
      </c>
      <c r="E156" s="83">
        <v>0.13</v>
      </c>
      <c r="F156" s="35">
        <f t="shared" si="15"/>
        <v>9896.57</v>
      </c>
      <c r="G156" s="47">
        <v>86024</v>
      </c>
      <c r="H156" s="34">
        <v>43683</v>
      </c>
      <c r="I156" s="71">
        <v>86024</v>
      </c>
      <c r="J156" s="64" t="s">
        <v>134</v>
      </c>
      <c r="K156" s="67" t="s">
        <v>108</v>
      </c>
      <c r="L156" s="63" t="s">
        <v>188</v>
      </c>
      <c r="M156" s="64"/>
      <c r="N156" s="64"/>
      <c r="O156" s="63"/>
    </row>
    <row r="157" s="10" customFormat="1" ht="18" customHeight="1" spans="1:15">
      <c r="A157" s="42">
        <v>43678</v>
      </c>
      <c r="B157" s="35">
        <f t="shared" si="14"/>
        <v>96991.15</v>
      </c>
      <c r="C157" s="43"/>
      <c r="D157" s="44" t="s">
        <v>37</v>
      </c>
      <c r="E157" s="83">
        <v>0.13</v>
      </c>
      <c r="F157" s="35">
        <f t="shared" si="15"/>
        <v>12608.85</v>
      </c>
      <c r="G157" s="47">
        <v>109600</v>
      </c>
      <c r="H157" s="34">
        <v>43683</v>
      </c>
      <c r="I157" s="71">
        <v>211500</v>
      </c>
      <c r="J157" s="64" t="s">
        <v>134</v>
      </c>
      <c r="K157" s="67" t="s">
        <v>46</v>
      </c>
      <c r="L157" s="63" t="s">
        <v>47</v>
      </c>
      <c r="M157" s="64"/>
      <c r="N157" s="64"/>
      <c r="O157" s="63"/>
    </row>
    <row r="158" s="10" customFormat="1" ht="18" customHeight="1" spans="1:15">
      <c r="A158" s="42"/>
      <c r="B158" s="35">
        <f t="shared" si="14"/>
        <v>0</v>
      </c>
      <c r="C158" s="43"/>
      <c r="D158" s="44"/>
      <c r="E158" s="45"/>
      <c r="F158" s="35">
        <f t="shared" si="15"/>
        <v>0</v>
      </c>
      <c r="G158" s="47"/>
      <c r="H158" s="34">
        <v>43691</v>
      </c>
      <c r="I158" s="71">
        <v>126893</v>
      </c>
      <c r="J158" s="64" t="s">
        <v>134</v>
      </c>
      <c r="K158" s="91" t="s">
        <v>51</v>
      </c>
      <c r="L158" s="91" t="s">
        <v>189</v>
      </c>
      <c r="M158" s="64"/>
      <c r="N158" s="64"/>
      <c r="O158" s="63"/>
    </row>
    <row r="159" s="10" customFormat="1" ht="18" customHeight="1" spans="1:15">
      <c r="A159" s="42"/>
      <c r="B159" s="35">
        <f t="shared" si="14"/>
        <v>0</v>
      </c>
      <c r="C159" s="43"/>
      <c r="D159" s="44"/>
      <c r="E159" s="45"/>
      <c r="F159" s="35">
        <f t="shared" si="15"/>
        <v>0</v>
      </c>
      <c r="G159" s="47"/>
      <c r="H159" s="34">
        <v>43691</v>
      </c>
      <c r="I159" s="71">
        <v>82946</v>
      </c>
      <c r="J159" s="64" t="s">
        <v>134</v>
      </c>
      <c r="K159" s="91" t="s">
        <v>137</v>
      </c>
      <c r="L159" s="91" t="s">
        <v>138</v>
      </c>
      <c r="M159" s="64"/>
      <c r="N159" s="64"/>
      <c r="O159" s="63"/>
    </row>
    <row r="160" s="11" customFormat="1" ht="18" customHeight="1" spans="1:15">
      <c r="A160" s="84">
        <v>43678</v>
      </c>
      <c r="B160" s="85">
        <f t="shared" si="14"/>
        <v>187168.14</v>
      </c>
      <c r="C160" s="86"/>
      <c r="D160" s="87" t="s">
        <v>37</v>
      </c>
      <c r="E160" s="88">
        <v>0.13</v>
      </c>
      <c r="F160" s="85">
        <f t="shared" si="15"/>
        <v>24331.86</v>
      </c>
      <c r="G160" s="89">
        <v>211500</v>
      </c>
      <c r="H160" s="90">
        <v>43700</v>
      </c>
      <c r="I160" s="92">
        <v>107200</v>
      </c>
      <c r="J160" s="93" t="s">
        <v>134</v>
      </c>
      <c r="K160" s="94" t="s">
        <v>46</v>
      </c>
      <c r="L160" s="95" t="s">
        <v>47</v>
      </c>
      <c r="M160" s="93"/>
      <c r="N160" s="93"/>
      <c r="O160" s="95"/>
    </row>
    <row r="161" s="10" customFormat="1" ht="18" customHeight="1" spans="1:15">
      <c r="A161" s="42">
        <v>43678</v>
      </c>
      <c r="B161" s="35">
        <f t="shared" si="14"/>
        <v>2212.39</v>
      </c>
      <c r="C161" s="43"/>
      <c r="D161" s="44" t="s">
        <v>37</v>
      </c>
      <c r="E161" s="83">
        <v>0.13</v>
      </c>
      <c r="F161" s="35">
        <f t="shared" si="15"/>
        <v>287.61</v>
      </c>
      <c r="G161" s="47">
        <v>2500</v>
      </c>
      <c r="H161" s="34"/>
      <c r="I161" s="71"/>
      <c r="J161" s="64"/>
      <c r="K161" s="67" t="s">
        <v>147</v>
      </c>
      <c r="L161" s="63" t="s">
        <v>47</v>
      </c>
      <c r="M161" s="64"/>
      <c r="N161" s="64"/>
      <c r="O161" s="63"/>
    </row>
    <row r="162" s="10" customFormat="1" ht="18" customHeight="1" spans="1:15">
      <c r="A162" s="42">
        <v>43678</v>
      </c>
      <c r="B162" s="35">
        <f t="shared" ref="B162:B169" si="16">ROUND(G162/(1+E162),2)</f>
        <v>800000</v>
      </c>
      <c r="C162" s="43"/>
      <c r="D162" s="44" t="s">
        <v>190</v>
      </c>
      <c r="E162" s="83"/>
      <c r="F162" s="35">
        <f t="shared" ref="F162:F169" si="17">ROUND(G162/(1+E162)*E162,2)</f>
        <v>0</v>
      </c>
      <c r="G162" s="47">
        <v>800000</v>
      </c>
      <c r="H162" s="34"/>
      <c r="I162" s="71"/>
      <c r="J162" s="64"/>
      <c r="K162" s="67" t="s">
        <v>162</v>
      </c>
      <c r="L162" s="63" t="s">
        <v>163</v>
      </c>
      <c r="M162" s="64"/>
      <c r="N162" s="64"/>
      <c r="O162" s="63"/>
    </row>
    <row r="163" s="10" customFormat="1" ht="18" customHeight="1" spans="1:15">
      <c r="A163" s="42">
        <v>43678</v>
      </c>
      <c r="B163" s="35">
        <f t="shared" si="16"/>
        <v>1930.5</v>
      </c>
      <c r="C163" s="43"/>
      <c r="D163" s="44" t="s">
        <v>53</v>
      </c>
      <c r="E163" s="83"/>
      <c r="F163" s="35">
        <f t="shared" si="17"/>
        <v>0</v>
      </c>
      <c r="G163" s="47">
        <v>1930.5</v>
      </c>
      <c r="H163" s="34"/>
      <c r="I163" s="71"/>
      <c r="J163" s="64"/>
      <c r="K163" s="67" t="s">
        <v>65</v>
      </c>
      <c r="L163" s="63" t="s">
        <v>191</v>
      </c>
      <c r="M163" s="64"/>
      <c r="N163" s="64"/>
      <c r="O163" s="63"/>
    </row>
    <row r="164" s="10" customFormat="1" ht="18" customHeight="1" spans="1:15">
      <c r="A164" s="42">
        <v>43678</v>
      </c>
      <c r="B164" s="35">
        <f t="shared" si="16"/>
        <v>1420</v>
      </c>
      <c r="C164" s="43"/>
      <c r="D164" s="44" t="s">
        <v>53</v>
      </c>
      <c r="E164" s="83"/>
      <c r="F164" s="35">
        <f t="shared" si="17"/>
        <v>0</v>
      </c>
      <c r="G164" s="47">
        <v>1420</v>
      </c>
      <c r="H164" s="34"/>
      <c r="I164" s="71"/>
      <c r="J164" s="64"/>
      <c r="K164" s="67" t="s">
        <v>65</v>
      </c>
      <c r="L164" s="63" t="s">
        <v>62</v>
      </c>
      <c r="M164" s="64"/>
      <c r="N164" s="64"/>
      <c r="O164" s="63"/>
    </row>
    <row r="165" s="10" customFormat="1" ht="18" customHeight="1" spans="1:15">
      <c r="A165" s="42">
        <v>43678</v>
      </c>
      <c r="B165" s="35">
        <f t="shared" si="16"/>
        <v>11260</v>
      </c>
      <c r="C165" s="43"/>
      <c r="D165" s="44" t="s">
        <v>53</v>
      </c>
      <c r="E165" s="83"/>
      <c r="F165" s="35">
        <f t="shared" si="17"/>
        <v>0</v>
      </c>
      <c r="G165" s="47">
        <v>11260</v>
      </c>
      <c r="H165" s="34"/>
      <c r="I165" s="71"/>
      <c r="J165" s="64"/>
      <c r="K165" s="67" t="s">
        <v>65</v>
      </c>
      <c r="L165" s="63" t="s">
        <v>192</v>
      </c>
      <c r="M165" s="64"/>
      <c r="N165" s="64"/>
      <c r="O165" s="63"/>
    </row>
    <row r="166" s="10" customFormat="1" ht="18" customHeight="1" spans="1:15">
      <c r="A166" s="42">
        <v>43678</v>
      </c>
      <c r="B166" s="35">
        <f t="shared" si="16"/>
        <v>4332.74</v>
      </c>
      <c r="C166" s="43"/>
      <c r="D166" s="44" t="s">
        <v>37</v>
      </c>
      <c r="E166" s="83">
        <v>0.13</v>
      </c>
      <c r="F166" s="35">
        <f t="shared" si="17"/>
        <v>563.26</v>
      </c>
      <c r="G166" s="47">
        <v>4896</v>
      </c>
      <c r="H166" s="34"/>
      <c r="I166" s="71"/>
      <c r="J166" s="64"/>
      <c r="K166" s="67" t="s">
        <v>193</v>
      </c>
      <c r="L166" s="63" t="s">
        <v>194</v>
      </c>
      <c r="M166" s="64"/>
      <c r="N166" s="64"/>
      <c r="O166" s="63"/>
    </row>
    <row r="167" s="10" customFormat="1" ht="18" customHeight="1" spans="1:15">
      <c r="A167" s="42">
        <v>43678</v>
      </c>
      <c r="B167" s="35">
        <f t="shared" si="16"/>
        <v>43786.19</v>
      </c>
      <c r="C167" s="43"/>
      <c r="D167" s="44" t="s">
        <v>37</v>
      </c>
      <c r="E167" s="83">
        <v>0.13</v>
      </c>
      <c r="F167" s="35">
        <f t="shared" si="17"/>
        <v>5692.21</v>
      </c>
      <c r="G167" s="47">
        <v>49478.4</v>
      </c>
      <c r="H167" s="34"/>
      <c r="I167" s="71"/>
      <c r="J167" s="64"/>
      <c r="K167" s="67" t="s">
        <v>139</v>
      </c>
      <c r="L167" s="63" t="s">
        <v>92</v>
      </c>
      <c r="M167" s="64"/>
      <c r="N167" s="64"/>
      <c r="O167" s="63"/>
    </row>
    <row r="168" s="10" customFormat="1" ht="18" customHeight="1" spans="1:15">
      <c r="A168" s="42">
        <v>43678</v>
      </c>
      <c r="B168" s="35">
        <f t="shared" si="16"/>
        <v>970.87</v>
      </c>
      <c r="C168" s="43"/>
      <c r="D168" s="44" t="s">
        <v>37</v>
      </c>
      <c r="E168" s="83">
        <v>0.03</v>
      </c>
      <c r="F168" s="35">
        <f t="shared" si="17"/>
        <v>29.13</v>
      </c>
      <c r="G168" s="47">
        <v>1000</v>
      </c>
      <c r="H168" s="34"/>
      <c r="I168" s="71"/>
      <c r="J168" s="64"/>
      <c r="K168" s="67" t="s">
        <v>118</v>
      </c>
      <c r="L168" s="63" t="s">
        <v>119</v>
      </c>
      <c r="M168" s="64"/>
      <c r="N168" s="64"/>
      <c r="O168" s="63"/>
    </row>
    <row r="169" s="10" customFormat="1" ht="18" customHeight="1" spans="1:15">
      <c r="A169" s="42">
        <v>43709</v>
      </c>
      <c r="B169" s="35">
        <f t="shared" si="16"/>
        <v>159000</v>
      </c>
      <c r="C169" s="43"/>
      <c r="D169" s="44" t="s">
        <v>37</v>
      </c>
      <c r="E169" s="83">
        <v>0.03</v>
      </c>
      <c r="F169" s="35">
        <f t="shared" si="17"/>
        <v>4770</v>
      </c>
      <c r="G169" s="47">
        <v>163770</v>
      </c>
      <c r="H169" s="34">
        <v>43704</v>
      </c>
      <c r="I169" s="96">
        <v>163770</v>
      </c>
      <c r="J169" s="64" t="s">
        <v>134</v>
      </c>
      <c r="K169" s="91" t="s">
        <v>110</v>
      </c>
      <c r="L169" s="91" t="s">
        <v>159</v>
      </c>
      <c r="M169" s="64"/>
      <c r="N169" s="64"/>
      <c r="O169" s="63"/>
    </row>
    <row r="170" s="10" customFormat="1" ht="18" customHeight="1" spans="1:15">
      <c r="A170" s="42">
        <v>43709</v>
      </c>
      <c r="B170" s="35">
        <f t="shared" ref="B170:B179" si="18">ROUND(G170/(1+E170),2)</f>
        <v>1165.05</v>
      </c>
      <c r="C170" s="43"/>
      <c r="D170" s="44" t="s">
        <v>37</v>
      </c>
      <c r="E170" s="83">
        <v>0.03</v>
      </c>
      <c r="F170" s="35">
        <f t="shared" ref="F170:F178" si="19">ROUND(G170/(1+E170)*E170,2)</f>
        <v>34.95</v>
      </c>
      <c r="G170" s="47">
        <v>1200</v>
      </c>
      <c r="H170" s="34"/>
      <c r="I170" s="96"/>
      <c r="J170" s="64"/>
      <c r="K170" s="97" t="s">
        <v>118</v>
      </c>
      <c r="L170" s="91" t="s">
        <v>119</v>
      </c>
      <c r="M170" s="64"/>
      <c r="N170" s="64"/>
      <c r="O170" s="63"/>
    </row>
    <row r="171" s="10" customFormat="1" ht="18" customHeight="1" spans="1:15">
      <c r="A171" s="42">
        <v>43709</v>
      </c>
      <c r="B171" s="35">
        <f t="shared" si="18"/>
        <v>3362.83</v>
      </c>
      <c r="C171" s="43"/>
      <c r="D171" s="44" t="s">
        <v>37</v>
      </c>
      <c r="E171" s="83">
        <v>0.13</v>
      </c>
      <c r="F171" s="35">
        <f t="shared" si="19"/>
        <v>437.17</v>
      </c>
      <c r="G171" s="47">
        <v>3800</v>
      </c>
      <c r="H171" s="34"/>
      <c r="I171" s="96"/>
      <c r="J171" s="64"/>
      <c r="K171" s="97" t="s">
        <v>195</v>
      </c>
      <c r="L171" s="91" t="s">
        <v>196</v>
      </c>
      <c r="M171" s="64"/>
      <c r="N171" s="64"/>
      <c r="O171" s="63"/>
    </row>
    <row r="172" s="10" customFormat="1" ht="18" customHeight="1" spans="1:15">
      <c r="A172" s="42">
        <v>43709</v>
      </c>
      <c r="B172" s="35">
        <f t="shared" si="18"/>
        <v>8665.49</v>
      </c>
      <c r="C172" s="43"/>
      <c r="D172" s="44" t="s">
        <v>37</v>
      </c>
      <c r="E172" s="83">
        <v>0.13</v>
      </c>
      <c r="F172" s="35">
        <f t="shared" si="19"/>
        <v>1126.51</v>
      </c>
      <c r="G172" s="47">
        <v>9792</v>
      </c>
      <c r="H172" s="34"/>
      <c r="I172" s="96"/>
      <c r="J172" s="64"/>
      <c r="K172" s="97" t="s">
        <v>193</v>
      </c>
      <c r="L172" s="91" t="s">
        <v>194</v>
      </c>
      <c r="M172" s="64"/>
      <c r="N172" s="64"/>
      <c r="O172" s="63"/>
    </row>
    <row r="173" s="10" customFormat="1" ht="18" customHeight="1" spans="1:15">
      <c r="A173" s="42">
        <v>43709</v>
      </c>
      <c r="B173" s="35">
        <f t="shared" si="18"/>
        <v>28843</v>
      </c>
      <c r="C173" s="43"/>
      <c r="D173" s="44"/>
      <c r="E173" s="83"/>
      <c r="F173" s="35">
        <f t="shared" si="19"/>
        <v>0</v>
      </c>
      <c r="G173" s="47">
        <v>28843</v>
      </c>
      <c r="H173" s="34"/>
      <c r="I173" s="96"/>
      <c r="J173" s="64"/>
      <c r="K173" s="97" t="s">
        <v>197</v>
      </c>
      <c r="L173" s="91" t="s">
        <v>198</v>
      </c>
      <c r="M173" s="64"/>
      <c r="N173" s="64"/>
      <c r="O173" s="63"/>
    </row>
    <row r="174" s="10" customFormat="1" ht="18" customHeight="1" spans="1:15">
      <c r="A174" s="42">
        <v>43709</v>
      </c>
      <c r="B174" s="35">
        <f t="shared" si="18"/>
        <v>4240</v>
      </c>
      <c r="C174" s="43"/>
      <c r="D174" s="44"/>
      <c r="E174" s="83"/>
      <c r="F174" s="35">
        <f t="shared" si="19"/>
        <v>0</v>
      </c>
      <c r="G174" s="47">
        <v>4240</v>
      </c>
      <c r="H174" s="34"/>
      <c r="I174" s="96"/>
      <c r="J174" s="64"/>
      <c r="K174" s="97" t="s">
        <v>65</v>
      </c>
      <c r="L174" s="91"/>
      <c r="M174" s="64"/>
      <c r="N174" s="64"/>
      <c r="O174" s="63"/>
    </row>
    <row r="175" s="10" customFormat="1" ht="18" customHeight="1" spans="1:15">
      <c r="A175" s="42">
        <v>43709</v>
      </c>
      <c r="B175" s="35">
        <f t="shared" si="18"/>
        <v>4035</v>
      </c>
      <c r="C175" s="43"/>
      <c r="D175" s="44"/>
      <c r="E175" s="83"/>
      <c r="F175" s="35">
        <f t="shared" si="19"/>
        <v>0</v>
      </c>
      <c r="G175" s="47">
        <v>4035</v>
      </c>
      <c r="H175" s="34"/>
      <c r="I175" s="96"/>
      <c r="J175" s="64"/>
      <c r="K175" s="97" t="s">
        <v>107</v>
      </c>
      <c r="L175" s="91"/>
      <c r="M175" s="64"/>
      <c r="N175" s="64"/>
      <c r="O175" s="63"/>
    </row>
    <row r="176" s="10" customFormat="1" ht="18" customHeight="1" spans="1:15">
      <c r="A176" s="42">
        <v>43709</v>
      </c>
      <c r="B176" s="35">
        <f t="shared" si="18"/>
        <v>905</v>
      </c>
      <c r="C176" s="43"/>
      <c r="D176" s="44"/>
      <c r="E176" s="45"/>
      <c r="F176" s="35">
        <f t="shared" si="19"/>
        <v>0</v>
      </c>
      <c r="G176" s="47">
        <v>905</v>
      </c>
      <c r="H176" s="34"/>
      <c r="I176" s="71"/>
      <c r="J176" s="64"/>
      <c r="K176" s="67" t="s">
        <v>106</v>
      </c>
      <c r="L176" s="63"/>
      <c r="M176" s="64"/>
      <c r="N176" s="64"/>
      <c r="O176" s="63"/>
    </row>
    <row r="177" s="10" customFormat="1" ht="18" customHeight="1" spans="1:15">
      <c r="A177" s="42"/>
      <c r="B177" s="35">
        <f t="shared" ref="B177:B185" si="20">ROUND(G177/(1+E177),2)</f>
        <v>0</v>
      </c>
      <c r="C177" s="43"/>
      <c r="D177" s="44"/>
      <c r="E177" s="45"/>
      <c r="F177" s="35">
        <f t="shared" ref="F177:F185" si="21">ROUND(G177/(1+E177)*E177,2)</f>
        <v>0</v>
      </c>
      <c r="G177" s="47"/>
      <c r="H177" s="34">
        <v>43728</v>
      </c>
      <c r="I177" s="71">
        <v>114880</v>
      </c>
      <c r="J177" s="64" t="s">
        <v>134</v>
      </c>
      <c r="K177" s="67" t="s">
        <v>199</v>
      </c>
      <c r="L177" s="63" t="s">
        <v>200</v>
      </c>
      <c r="M177" s="64"/>
      <c r="N177" s="64"/>
      <c r="O177" s="63"/>
    </row>
    <row r="178" s="10" customFormat="1" ht="18" customHeight="1" spans="1:15">
      <c r="A178" s="42"/>
      <c r="B178" s="35">
        <f t="shared" si="20"/>
        <v>0</v>
      </c>
      <c r="C178" s="43"/>
      <c r="D178" s="44"/>
      <c r="E178" s="45"/>
      <c r="F178" s="35">
        <f t="shared" si="21"/>
        <v>0</v>
      </c>
      <c r="G178" s="47"/>
      <c r="H178" s="34">
        <v>43728</v>
      </c>
      <c r="I178" s="71">
        <v>-114880</v>
      </c>
      <c r="J178" s="64" t="s">
        <v>42</v>
      </c>
      <c r="K178" s="67" t="s">
        <v>43</v>
      </c>
      <c r="L178" s="63"/>
      <c r="M178" s="64"/>
      <c r="N178" s="64"/>
      <c r="O178" s="63"/>
    </row>
    <row r="179" s="10" customFormat="1" ht="18" customHeight="1" spans="1:15">
      <c r="A179" s="42">
        <v>43709</v>
      </c>
      <c r="B179" s="35">
        <f t="shared" si="20"/>
        <v>94867.26</v>
      </c>
      <c r="C179" s="43"/>
      <c r="D179" s="44" t="s">
        <v>37</v>
      </c>
      <c r="E179" s="83">
        <v>0.13</v>
      </c>
      <c r="F179" s="35">
        <f t="shared" si="21"/>
        <v>12332.74</v>
      </c>
      <c r="G179" s="47">
        <f>80000+27200</f>
        <v>107200</v>
      </c>
      <c r="H179" s="34">
        <v>43732</v>
      </c>
      <c r="I179" s="71">
        <v>114880</v>
      </c>
      <c r="J179" s="64" t="s">
        <v>134</v>
      </c>
      <c r="K179" s="67" t="s">
        <v>46</v>
      </c>
      <c r="L179" s="63" t="s">
        <v>201</v>
      </c>
      <c r="M179" s="64"/>
      <c r="N179" s="64"/>
      <c r="O179" s="63"/>
    </row>
    <row r="180" s="10" customFormat="1" ht="18" customHeight="1" spans="1:15">
      <c r="A180" s="42"/>
      <c r="B180" s="35">
        <f t="shared" si="20"/>
        <v>0</v>
      </c>
      <c r="C180" s="43"/>
      <c r="D180" s="44"/>
      <c r="E180" s="45"/>
      <c r="F180" s="35">
        <f t="shared" si="21"/>
        <v>0</v>
      </c>
      <c r="G180" s="47"/>
      <c r="H180" s="34">
        <v>43732</v>
      </c>
      <c r="I180" s="71">
        <v>-114880</v>
      </c>
      <c r="J180" s="64" t="s">
        <v>42</v>
      </c>
      <c r="K180" s="67" t="s">
        <v>43</v>
      </c>
      <c r="L180" s="63"/>
      <c r="M180" s="64"/>
      <c r="N180" s="64"/>
      <c r="O180" s="63"/>
    </row>
    <row r="181" s="10" customFormat="1" ht="18" customHeight="1" spans="1:15">
      <c r="A181" s="42"/>
      <c r="B181" s="35">
        <f t="shared" si="20"/>
        <v>0</v>
      </c>
      <c r="C181" s="43"/>
      <c r="D181" s="44"/>
      <c r="E181" s="45"/>
      <c r="F181" s="35">
        <f t="shared" si="21"/>
        <v>0</v>
      </c>
      <c r="G181" s="47"/>
      <c r="H181" s="34">
        <v>43734</v>
      </c>
      <c r="I181" s="71">
        <v>74398</v>
      </c>
      <c r="J181" s="64" t="s">
        <v>134</v>
      </c>
      <c r="K181" s="67" t="s">
        <v>108</v>
      </c>
      <c r="L181" s="63" t="s">
        <v>188</v>
      </c>
      <c r="M181" s="64"/>
      <c r="N181" s="64"/>
      <c r="O181" s="63"/>
    </row>
    <row r="182" s="10" customFormat="1" ht="18" customHeight="1" spans="1:15">
      <c r="A182" s="42"/>
      <c r="B182" s="35">
        <f t="shared" si="20"/>
        <v>0</v>
      </c>
      <c r="C182" s="43"/>
      <c r="D182" s="44"/>
      <c r="E182" s="45"/>
      <c r="F182" s="35">
        <f t="shared" si="21"/>
        <v>0</v>
      </c>
      <c r="G182" s="47"/>
      <c r="H182" s="34">
        <v>43734</v>
      </c>
      <c r="I182" s="71">
        <v>-74398</v>
      </c>
      <c r="J182" s="64" t="s">
        <v>42</v>
      </c>
      <c r="K182" s="67" t="s">
        <v>43</v>
      </c>
      <c r="L182" s="63"/>
      <c r="M182" s="64"/>
      <c r="N182" s="64"/>
      <c r="O182" s="63"/>
    </row>
    <row r="183" s="10" customFormat="1" ht="18" customHeight="1" spans="1:15">
      <c r="A183" s="42">
        <v>43709</v>
      </c>
      <c r="B183" s="35">
        <f t="shared" ref="B183:B197" si="22">ROUND(G183/(1+E183),2)</f>
        <v>90293.98</v>
      </c>
      <c r="C183" s="43"/>
      <c r="D183" s="44" t="s">
        <v>37</v>
      </c>
      <c r="E183" s="83">
        <v>0.03</v>
      </c>
      <c r="F183" s="35">
        <f t="shared" ref="F183:F197" si="23">ROUND(G183/(1+E183)*E183,2)</f>
        <v>2708.82</v>
      </c>
      <c r="G183" s="47">
        <f>3100+40690.8+12820+36392</f>
        <v>93002.8</v>
      </c>
      <c r="H183" s="34"/>
      <c r="I183" s="71"/>
      <c r="J183" s="64"/>
      <c r="K183" s="67" t="s">
        <v>51</v>
      </c>
      <c r="L183" s="63" t="s">
        <v>189</v>
      </c>
      <c r="M183" s="64"/>
      <c r="N183" s="64"/>
      <c r="O183" s="63"/>
    </row>
    <row r="184" s="10" customFormat="1" ht="18" customHeight="1" spans="1:15">
      <c r="A184" s="42">
        <v>43709</v>
      </c>
      <c r="B184" s="35">
        <f t="shared" si="22"/>
        <v>4292.04</v>
      </c>
      <c r="C184" s="43"/>
      <c r="D184" s="44" t="s">
        <v>37</v>
      </c>
      <c r="E184" s="83">
        <v>0.13</v>
      </c>
      <c r="F184" s="35">
        <f t="shared" si="23"/>
        <v>557.96</v>
      </c>
      <c r="G184" s="47">
        <v>4850</v>
      </c>
      <c r="H184" s="34"/>
      <c r="I184" s="71"/>
      <c r="J184" s="64"/>
      <c r="K184" s="67" t="s">
        <v>202</v>
      </c>
      <c r="L184" s="63" t="s">
        <v>151</v>
      </c>
      <c r="M184" s="64" t="s">
        <v>175</v>
      </c>
      <c r="N184" s="64"/>
      <c r="O184" s="63"/>
    </row>
    <row r="185" s="10" customFormat="1" ht="18" customHeight="1" spans="1:15">
      <c r="A185" s="42">
        <v>43709</v>
      </c>
      <c r="B185" s="35">
        <f t="shared" si="22"/>
        <v>3150.44</v>
      </c>
      <c r="C185" s="43"/>
      <c r="D185" s="44" t="s">
        <v>37</v>
      </c>
      <c r="E185" s="83">
        <v>0.13</v>
      </c>
      <c r="F185" s="35">
        <f t="shared" si="23"/>
        <v>409.56</v>
      </c>
      <c r="G185" s="47">
        <v>3560</v>
      </c>
      <c r="H185" s="34"/>
      <c r="I185" s="71"/>
      <c r="J185" s="64"/>
      <c r="K185" s="67" t="s">
        <v>203</v>
      </c>
      <c r="L185" s="63" t="s">
        <v>204</v>
      </c>
      <c r="M185" s="64" t="s">
        <v>175</v>
      </c>
      <c r="N185" s="64"/>
      <c r="O185" s="63"/>
    </row>
    <row r="186" s="10" customFormat="1" ht="18" customHeight="1" spans="1:15">
      <c r="A186" s="42">
        <v>43709</v>
      </c>
      <c r="B186" s="35">
        <f t="shared" si="22"/>
        <v>27769.91</v>
      </c>
      <c r="C186" s="43"/>
      <c r="D186" s="44" t="s">
        <v>37</v>
      </c>
      <c r="E186" s="83">
        <v>0.13</v>
      </c>
      <c r="F186" s="35">
        <f t="shared" si="23"/>
        <v>3610.09</v>
      </c>
      <c r="G186" s="47">
        <v>31380</v>
      </c>
      <c r="H186" s="34"/>
      <c r="I186" s="71"/>
      <c r="J186" s="64"/>
      <c r="K186" s="67" t="s">
        <v>205</v>
      </c>
      <c r="L186" s="63" t="s">
        <v>206</v>
      </c>
      <c r="M186" s="64" t="s">
        <v>175</v>
      </c>
      <c r="N186" s="64"/>
      <c r="O186" s="63"/>
    </row>
    <row r="187" s="10" customFormat="1" ht="18" customHeight="1" spans="1:15">
      <c r="A187" s="42">
        <v>43709</v>
      </c>
      <c r="B187" s="35">
        <f t="shared" si="22"/>
        <v>22445.48</v>
      </c>
      <c r="C187" s="43"/>
      <c r="D187" s="44" t="s">
        <v>53</v>
      </c>
      <c r="E187" s="45"/>
      <c r="F187" s="35">
        <f t="shared" si="23"/>
        <v>0</v>
      </c>
      <c r="G187" s="47">
        <v>22445.48</v>
      </c>
      <c r="H187" s="34"/>
      <c r="I187" s="71"/>
      <c r="J187" s="64"/>
      <c r="K187" s="67" t="s">
        <v>65</v>
      </c>
      <c r="L187" s="63"/>
      <c r="M187" s="64"/>
      <c r="N187" s="64"/>
      <c r="O187" s="63"/>
    </row>
    <row r="188" s="10" customFormat="1" ht="18" customHeight="1" spans="1:15">
      <c r="A188" s="42">
        <v>43709</v>
      </c>
      <c r="B188" s="35">
        <f t="shared" si="22"/>
        <v>4683</v>
      </c>
      <c r="C188" s="43"/>
      <c r="D188" s="44" t="s">
        <v>53</v>
      </c>
      <c r="E188" s="45"/>
      <c r="F188" s="35">
        <f t="shared" si="23"/>
        <v>0</v>
      </c>
      <c r="G188" s="47">
        <v>4683</v>
      </c>
      <c r="H188" s="34"/>
      <c r="I188" s="71"/>
      <c r="J188" s="64"/>
      <c r="K188" s="67" t="s">
        <v>107</v>
      </c>
      <c r="L188" s="63"/>
      <c r="M188" s="64"/>
      <c r="N188" s="64"/>
      <c r="O188" s="63"/>
    </row>
    <row r="189" s="10" customFormat="1" ht="18" customHeight="1" spans="1:15">
      <c r="A189" s="42">
        <v>43709</v>
      </c>
      <c r="B189" s="35">
        <f t="shared" si="22"/>
        <v>6310</v>
      </c>
      <c r="C189" s="43"/>
      <c r="D189" s="44" t="s">
        <v>53</v>
      </c>
      <c r="E189" s="45"/>
      <c r="F189" s="35">
        <f t="shared" si="23"/>
        <v>0</v>
      </c>
      <c r="G189" s="47">
        <v>6310</v>
      </c>
      <c r="H189" s="34"/>
      <c r="I189" s="71"/>
      <c r="J189" s="64"/>
      <c r="K189" s="67" t="s">
        <v>65</v>
      </c>
      <c r="L189" s="63" t="s">
        <v>207</v>
      </c>
      <c r="M189" s="64"/>
      <c r="N189" s="64"/>
      <c r="O189" s="63"/>
    </row>
    <row r="190" s="10" customFormat="1" ht="18" customHeight="1" spans="1:15">
      <c r="A190" s="42">
        <v>43709</v>
      </c>
      <c r="B190" s="35">
        <f t="shared" si="22"/>
        <v>936.5</v>
      </c>
      <c r="C190" s="43"/>
      <c r="D190" s="44" t="s">
        <v>53</v>
      </c>
      <c r="E190" s="45"/>
      <c r="F190" s="35">
        <f t="shared" si="23"/>
        <v>0</v>
      </c>
      <c r="G190" s="47">
        <v>936.5</v>
      </c>
      <c r="H190" s="34"/>
      <c r="I190" s="71"/>
      <c r="J190" s="64"/>
      <c r="K190" s="67" t="s">
        <v>65</v>
      </c>
      <c r="L190" s="63" t="s">
        <v>208</v>
      </c>
      <c r="M190" s="64"/>
      <c r="N190" s="64"/>
      <c r="O190" s="63"/>
    </row>
    <row r="191" s="10" customFormat="1" ht="18" customHeight="1" spans="1:15">
      <c r="A191" s="42">
        <v>43709</v>
      </c>
      <c r="B191" s="35">
        <f t="shared" si="22"/>
        <v>1365</v>
      </c>
      <c r="C191" s="43"/>
      <c r="D191" s="44" t="s">
        <v>53</v>
      </c>
      <c r="E191" s="45"/>
      <c r="F191" s="35">
        <f t="shared" si="23"/>
        <v>0</v>
      </c>
      <c r="G191" s="47">
        <v>1365</v>
      </c>
      <c r="H191" s="34"/>
      <c r="I191" s="71"/>
      <c r="J191" s="64"/>
      <c r="K191" s="67" t="s">
        <v>106</v>
      </c>
      <c r="L191" s="63"/>
      <c r="M191" s="64"/>
      <c r="N191" s="64"/>
      <c r="O191" s="63"/>
    </row>
    <row r="192" s="10" customFormat="1" ht="18" customHeight="1" spans="1:15">
      <c r="A192" s="42"/>
      <c r="B192" s="35">
        <f t="shared" si="22"/>
        <v>0</v>
      </c>
      <c r="C192" s="43"/>
      <c r="D192" s="44"/>
      <c r="E192" s="45"/>
      <c r="F192" s="35">
        <f t="shared" si="23"/>
        <v>0</v>
      </c>
      <c r="G192" s="47"/>
      <c r="H192" s="34">
        <v>43746</v>
      </c>
      <c r="I192" s="71">
        <v>112000</v>
      </c>
      <c r="J192" s="64" t="s">
        <v>134</v>
      </c>
      <c r="K192" s="67" t="s">
        <v>46</v>
      </c>
      <c r="L192" s="63"/>
      <c r="M192" s="64"/>
      <c r="N192" s="64"/>
      <c r="O192" s="63"/>
    </row>
    <row r="193" s="10" customFormat="1" ht="15" customHeight="1" spans="1:15">
      <c r="A193" s="42"/>
      <c r="B193" s="35">
        <f t="shared" si="22"/>
        <v>0</v>
      </c>
      <c r="C193" s="43"/>
      <c r="D193" s="44"/>
      <c r="E193" s="45"/>
      <c r="F193" s="35">
        <f t="shared" si="23"/>
        <v>0</v>
      </c>
      <c r="G193" s="47"/>
      <c r="H193" s="34">
        <v>43746</v>
      </c>
      <c r="I193" s="71">
        <v>-112000</v>
      </c>
      <c r="J193" s="64" t="s">
        <v>42</v>
      </c>
      <c r="K193" s="67" t="s">
        <v>43</v>
      </c>
      <c r="L193" s="63"/>
      <c r="M193" s="64"/>
      <c r="N193" s="64"/>
      <c r="O193" s="63"/>
    </row>
    <row r="194" s="10" customFormat="1" ht="18" customHeight="1" spans="1:15">
      <c r="A194" s="42">
        <v>43739</v>
      </c>
      <c r="B194" s="35">
        <f t="shared" si="22"/>
        <v>386990.29</v>
      </c>
      <c r="C194" s="43"/>
      <c r="D194" s="44" t="s">
        <v>37</v>
      </c>
      <c r="E194" s="83">
        <v>0.03</v>
      </c>
      <c r="F194" s="35">
        <f t="shared" si="23"/>
        <v>11609.71</v>
      </c>
      <c r="G194" s="47">
        <v>398600</v>
      </c>
      <c r="H194" s="34"/>
      <c r="I194" s="71"/>
      <c r="J194" s="64"/>
      <c r="K194" s="67" t="s">
        <v>209</v>
      </c>
      <c r="L194" s="63" t="s">
        <v>210</v>
      </c>
      <c r="M194" s="64"/>
      <c r="N194" s="64"/>
      <c r="O194" s="63"/>
    </row>
    <row r="195" s="10" customFormat="1" ht="18" customHeight="1" spans="1:15">
      <c r="A195" s="42">
        <v>43739</v>
      </c>
      <c r="B195" s="35">
        <f t="shared" si="22"/>
        <v>570970.87</v>
      </c>
      <c r="C195" s="43"/>
      <c r="D195" s="44" t="s">
        <v>37</v>
      </c>
      <c r="E195" s="83">
        <v>0.03</v>
      </c>
      <c r="F195" s="35">
        <f t="shared" si="23"/>
        <v>17129.13</v>
      </c>
      <c r="G195" s="47">
        <v>588100</v>
      </c>
      <c r="H195" s="34"/>
      <c r="I195" s="71"/>
      <c r="J195" s="64"/>
      <c r="K195" s="67" t="s">
        <v>160</v>
      </c>
      <c r="L195" s="63" t="s">
        <v>211</v>
      </c>
      <c r="M195" s="64"/>
      <c r="N195" s="64"/>
      <c r="O195" s="63"/>
    </row>
    <row r="196" s="10" customFormat="1" ht="18" customHeight="1" spans="1:15">
      <c r="A196" s="42">
        <v>43739</v>
      </c>
      <c r="B196" s="35">
        <f t="shared" si="22"/>
        <v>34973.45</v>
      </c>
      <c r="C196" s="43"/>
      <c r="D196" s="44" t="s">
        <v>37</v>
      </c>
      <c r="E196" s="83">
        <v>0.13</v>
      </c>
      <c r="F196" s="35">
        <f t="shared" si="23"/>
        <v>4546.55</v>
      </c>
      <c r="G196" s="47">
        <v>39520</v>
      </c>
      <c r="H196" s="34"/>
      <c r="I196" s="71"/>
      <c r="J196" s="64"/>
      <c r="K196" s="67" t="s">
        <v>212</v>
      </c>
      <c r="L196" s="63" t="s">
        <v>213</v>
      </c>
      <c r="M196" s="64"/>
      <c r="N196" s="64"/>
      <c r="O196" s="63"/>
    </row>
    <row r="197" s="10" customFormat="1" ht="18" customHeight="1" spans="1:15">
      <c r="A197" s="42">
        <v>43739</v>
      </c>
      <c r="B197" s="35">
        <f t="shared" ref="B197:B209" si="24">ROUND(G197/(1+E197),2)</f>
        <v>66105</v>
      </c>
      <c r="C197" s="43"/>
      <c r="D197" s="44"/>
      <c r="E197" s="83"/>
      <c r="F197" s="35">
        <f t="shared" ref="F197:F209" si="25">ROUND(G197/(1+E197)*E197,2)</f>
        <v>0</v>
      </c>
      <c r="G197" s="47">
        <v>66105</v>
      </c>
      <c r="H197" s="34"/>
      <c r="I197" s="71"/>
      <c r="J197" s="64"/>
      <c r="K197" s="67" t="s">
        <v>65</v>
      </c>
      <c r="L197" s="63" t="s">
        <v>214</v>
      </c>
      <c r="M197" s="64"/>
      <c r="N197" s="64"/>
      <c r="O197" s="63"/>
    </row>
    <row r="198" s="10" customFormat="1" ht="18" customHeight="1" spans="1:15">
      <c r="A198" s="42">
        <v>43739</v>
      </c>
      <c r="B198" s="35">
        <f t="shared" si="24"/>
        <v>490</v>
      </c>
      <c r="C198" s="43"/>
      <c r="D198" s="44"/>
      <c r="E198" s="83"/>
      <c r="F198" s="35">
        <f t="shared" si="25"/>
        <v>0</v>
      </c>
      <c r="G198" s="47">
        <v>490</v>
      </c>
      <c r="H198" s="34"/>
      <c r="I198" s="71"/>
      <c r="J198" s="64"/>
      <c r="K198" s="67" t="s">
        <v>106</v>
      </c>
      <c r="L198" s="63"/>
      <c r="M198" s="64"/>
      <c r="N198" s="64"/>
      <c r="O198" s="63"/>
    </row>
    <row r="199" s="10" customFormat="1" ht="18" customHeight="1" spans="1:15">
      <c r="A199" s="42">
        <v>43739</v>
      </c>
      <c r="B199" s="35">
        <f t="shared" si="24"/>
        <v>65838.99</v>
      </c>
      <c r="C199" s="43"/>
      <c r="D199" s="44" t="s">
        <v>37</v>
      </c>
      <c r="E199" s="83">
        <v>0.13</v>
      </c>
      <c r="F199" s="35">
        <f t="shared" si="25"/>
        <v>8559.07</v>
      </c>
      <c r="G199" s="47">
        <v>74398.06</v>
      </c>
      <c r="H199" s="34"/>
      <c r="I199" s="71"/>
      <c r="J199" s="64"/>
      <c r="K199" s="67" t="s">
        <v>108</v>
      </c>
      <c r="L199" s="63" t="s">
        <v>215</v>
      </c>
      <c r="M199" s="64"/>
      <c r="N199" s="64"/>
      <c r="O199" s="63" t="s">
        <v>216</v>
      </c>
    </row>
    <row r="200" s="10" customFormat="1" ht="18" customHeight="1" spans="1:15">
      <c r="A200" s="42">
        <v>43739</v>
      </c>
      <c r="B200" s="35">
        <f t="shared" si="24"/>
        <v>30893.45</v>
      </c>
      <c r="C200" s="43"/>
      <c r="D200" s="44" t="s">
        <v>37</v>
      </c>
      <c r="E200" s="83">
        <v>0.13</v>
      </c>
      <c r="F200" s="35">
        <f t="shared" si="25"/>
        <v>4016.15</v>
      </c>
      <c r="G200" s="47">
        <v>34909.6</v>
      </c>
      <c r="H200" s="34"/>
      <c r="I200" s="71"/>
      <c r="J200" s="64"/>
      <c r="K200" s="67" t="s">
        <v>137</v>
      </c>
      <c r="L200" s="63" t="s">
        <v>138</v>
      </c>
      <c r="M200" s="64"/>
      <c r="N200" s="64"/>
      <c r="O200" s="63" t="s">
        <v>216</v>
      </c>
    </row>
    <row r="201" s="10" customFormat="1" ht="18" customHeight="1" spans="1:15">
      <c r="A201" s="42">
        <v>43770</v>
      </c>
      <c r="B201" s="35">
        <f t="shared" si="24"/>
        <v>10695.15</v>
      </c>
      <c r="C201" s="43"/>
      <c r="D201" s="44" t="s">
        <v>37</v>
      </c>
      <c r="E201" s="83">
        <v>0.03</v>
      </c>
      <c r="F201" s="35">
        <f t="shared" si="25"/>
        <v>320.85</v>
      </c>
      <c r="G201" s="47">
        <v>11016</v>
      </c>
      <c r="H201" s="34"/>
      <c r="I201" s="71"/>
      <c r="J201" s="64"/>
      <c r="K201" s="67" t="s">
        <v>51</v>
      </c>
      <c r="L201" s="63" t="s">
        <v>55</v>
      </c>
      <c r="M201" s="64"/>
      <c r="N201" s="64"/>
      <c r="O201" s="63"/>
    </row>
    <row r="202" s="10" customFormat="1" ht="18" customHeight="1" spans="1:15">
      <c r="A202" s="42">
        <v>43770</v>
      </c>
      <c r="B202" s="35">
        <f t="shared" si="24"/>
        <v>581165.05</v>
      </c>
      <c r="C202" s="43"/>
      <c r="D202" s="44" t="s">
        <v>37</v>
      </c>
      <c r="E202" s="83">
        <v>0.03</v>
      </c>
      <c r="F202" s="35">
        <f t="shared" si="25"/>
        <v>17434.95</v>
      </c>
      <c r="G202" s="47">
        <v>598600</v>
      </c>
      <c r="H202" s="34"/>
      <c r="I202" s="71"/>
      <c r="J202" s="64"/>
      <c r="K202" s="67" t="s">
        <v>209</v>
      </c>
      <c r="L202" s="63" t="s">
        <v>218</v>
      </c>
      <c r="M202" s="64"/>
      <c r="N202" s="64"/>
      <c r="O202" s="63"/>
    </row>
    <row r="203" s="10" customFormat="1" ht="18" customHeight="1" spans="1:15">
      <c r="A203" s="42">
        <v>43770</v>
      </c>
      <c r="B203" s="35">
        <f t="shared" si="24"/>
        <v>200778.76</v>
      </c>
      <c r="C203" s="43"/>
      <c r="D203" s="44" t="s">
        <v>37</v>
      </c>
      <c r="E203" s="83">
        <v>0.13</v>
      </c>
      <c r="F203" s="35">
        <f t="shared" si="25"/>
        <v>26101.24</v>
      </c>
      <c r="G203" s="47">
        <v>226880</v>
      </c>
      <c r="H203" s="34">
        <v>43770</v>
      </c>
      <c r="I203" s="71">
        <v>201000</v>
      </c>
      <c r="J203" s="64" t="s">
        <v>22</v>
      </c>
      <c r="K203" s="67" t="s">
        <v>46</v>
      </c>
      <c r="L203" s="63" t="s">
        <v>219</v>
      </c>
      <c r="M203" s="64"/>
      <c r="N203" s="64"/>
      <c r="O203" s="63"/>
    </row>
    <row r="204" s="10" customFormat="1" ht="18" customHeight="1" spans="1:15">
      <c r="A204" s="42"/>
      <c r="B204" s="35"/>
      <c r="C204" s="43"/>
      <c r="D204" s="44"/>
      <c r="E204" s="83"/>
      <c r="F204" s="35"/>
      <c r="G204" s="47"/>
      <c r="H204" s="34">
        <v>43770</v>
      </c>
      <c r="I204" s="71">
        <v>-201000</v>
      </c>
      <c r="J204" s="64" t="s">
        <v>42</v>
      </c>
      <c r="K204" s="67" t="s">
        <v>43</v>
      </c>
      <c r="L204" s="63"/>
      <c r="M204" s="64"/>
      <c r="N204" s="64"/>
      <c r="O204" s="63"/>
    </row>
    <row r="205" s="10" customFormat="1" ht="18" customHeight="1" spans="1:15">
      <c r="A205" s="42">
        <v>43770</v>
      </c>
      <c r="B205" s="35">
        <f>ROUND(G205/(1+E205),2)</f>
        <v>18979.2</v>
      </c>
      <c r="C205" s="43"/>
      <c r="D205" s="44" t="s">
        <v>37</v>
      </c>
      <c r="E205" s="83">
        <v>0.13</v>
      </c>
      <c r="F205" s="35">
        <f>ROUND(G205/(1+E205)*E205,2)</f>
        <v>2467.3</v>
      </c>
      <c r="G205" s="47">
        <v>21446.5</v>
      </c>
      <c r="H205" s="34"/>
      <c r="I205" s="71"/>
      <c r="J205" s="64"/>
      <c r="K205" s="67" t="s">
        <v>220</v>
      </c>
      <c r="L205" s="63" t="s">
        <v>221</v>
      </c>
      <c r="M205" s="64"/>
      <c r="N205" s="64"/>
      <c r="O205" s="63"/>
    </row>
    <row r="206" s="10" customFormat="1" ht="18" customHeight="1" spans="1:15">
      <c r="A206" s="42">
        <v>43770</v>
      </c>
      <c r="B206" s="35">
        <f>ROUND(G206/(1+E206),2)</f>
        <v>5239</v>
      </c>
      <c r="C206" s="43"/>
      <c r="D206" s="44" t="s">
        <v>53</v>
      </c>
      <c r="E206" s="45"/>
      <c r="F206" s="35">
        <f>ROUND(G206/(1+E206)*E206,2)</f>
        <v>0</v>
      </c>
      <c r="G206" s="47">
        <v>5239</v>
      </c>
      <c r="H206" s="34"/>
      <c r="I206" s="71"/>
      <c r="J206" s="64"/>
      <c r="K206" s="67" t="s">
        <v>107</v>
      </c>
      <c r="L206" s="63"/>
      <c r="M206" s="64"/>
      <c r="N206" s="64"/>
      <c r="O206" s="63"/>
    </row>
    <row r="207" s="10" customFormat="1" ht="18" customHeight="1" spans="1:15">
      <c r="A207" s="42">
        <v>43800</v>
      </c>
      <c r="B207" s="35">
        <f t="shared" ref="B207:B221" si="26">ROUND(G207/(1+E207),2)</f>
        <v>442575.22</v>
      </c>
      <c r="C207" s="43"/>
      <c r="D207" s="44" t="s">
        <v>37</v>
      </c>
      <c r="E207" s="83">
        <v>0.13</v>
      </c>
      <c r="F207" s="35">
        <f t="shared" ref="F207:F221" si="27">ROUND(G207/(1+E207)*E207,2)</f>
        <v>57534.78</v>
      </c>
      <c r="G207" s="47">
        <f>98560+98560+98560+98560+105870</f>
        <v>500110</v>
      </c>
      <c r="H207" s="34">
        <v>43783</v>
      </c>
      <c r="I207" s="71">
        <v>500000</v>
      </c>
      <c r="J207" s="64" t="s">
        <v>22</v>
      </c>
      <c r="K207" s="67" t="s">
        <v>186</v>
      </c>
      <c r="L207" s="63" t="s">
        <v>222</v>
      </c>
      <c r="M207" s="64" t="s">
        <v>223</v>
      </c>
      <c r="N207" s="64" t="s">
        <v>223</v>
      </c>
      <c r="O207" s="63"/>
    </row>
    <row r="208" s="10" customFormat="1" ht="18" customHeight="1" spans="1:15">
      <c r="A208" s="42"/>
      <c r="B208" s="35">
        <f t="shared" si="26"/>
        <v>0</v>
      </c>
      <c r="C208" s="43"/>
      <c r="D208" s="44"/>
      <c r="E208" s="45"/>
      <c r="F208" s="35">
        <f t="shared" si="27"/>
        <v>0</v>
      </c>
      <c r="G208" s="47"/>
      <c r="H208" s="34">
        <v>43784</v>
      </c>
      <c r="I208" s="71">
        <v>34909.6</v>
      </c>
      <c r="J208" s="64" t="s">
        <v>22</v>
      </c>
      <c r="K208" s="67" t="s">
        <v>137</v>
      </c>
      <c r="L208" s="63" t="s">
        <v>189</v>
      </c>
      <c r="M208" s="64"/>
      <c r="N208" s="64"/>
      <c r="O208" s="63"/>
    </row>
    <row r="209" s="10" customFormat="1" ht="18" customHeight="1" spans="1:15">
      <c r="A209" s="42"/>
      <c r="B209" s="35">
        <f t="shared" si="26"/>
        <v>0</v>
      </c>
      <c r="C209" s="43"/>
      <c r="D209" s="44"/>
      <c r="E209" s="45"/>
      <c r="F209" s="35">
        <f t="shared" si="27"/>
        <v>0</v>
      </c>
      <c r="G209" s="47"/>
      <c r="H209" s="34">
        <v>43784</v>
      </c>
      <c r="I209" s="71">
        <v>107200</v>
      </c>
      <c r="J209" s="64" t="s">
        <v>22</v>
      </c>
      <c r="K209" s="67" t="s">
        <v>46</v>
      </c>
      <c r="L209" s="63" t="s">
        <v>47</v>
      </c>
      <c r="M209" s="64"/>
      <c r="N209" s="64"/>
      <c r="O209" s="63"/>
    </row>
    <row r="210" s="10" customFormat="1" ht="18" customHeight="1" spans="1:15">
      <c r="A210" s="42">
        <v>43800</v>
      </c>
      <c r="B210" s="35">
        <f t="shared" si="26"/>
        <v>87992.43</v>
      </c>
      <c r="C210" s="43"/>
      <c r="D210" s="44" t="s">
        <v>37</v>
      </c>
      <c r="E210" s="83">
        <v>0.03</v>
      </c>
      <c r="F210" s="35">
        <f t="shared" si="27"/>
        <v>2639.77</v>
      </c>
      <c r="G210" s="47">
        <f>87632.2+3000</f>
        <v>90632.2</v>
      </c>
      <c r="H210" s="34">
        <v>43784</v>
      </c>
      <c r="I210" s="71">
        <v>15316</v>
      </c>
      <c r="J210" s="64" t="s">
        <v>22</v>
      </c>
      <c r="K210" s="67" t="s">
        <v>51</v>
      </c>
      <c r="L210" s="63" t="s">
        <v>189</v>
      </c>
      <c r="M210" s="64" t="s">
        <v>223</v>
      </c>
      <c r="N210" s="64"/>
      <c r="O210" s="63"/>
    </row>
    <row r="211" s="10" customFormat="1" ht="18" customHeight="1" spans="1:15">
      <c r="A211" s="42">
        <v>43800</v>
      </c>
      <c r="B211" s="35">
        <f t="shared" si="26"/>
        <v>94255.85</v>
      </c>
      <c r="C211" s="43"/>
      <c r="D211" s="44" t="s">
        <v>53</v>
      </c>
      <c r="E211" s="45"/>
      <c r="F211" s="35">
        <f t="shared" si="27"/>
        <v>0</v>
      </c>
      <c r="G211" s="47">
        <v>94255.85</v>
      </c>
      <c r="H211" s="34">
        <v>43789</v>
      </c>
      <c r="I211" s="71">
        <v>176422.5</v>
      </c>
      <c r="J211" s="64" t="s">
        <v>42</v>
      </c>
      <c r="K211" s="67" t="s">
        <v>43</v>
      </c>
      <c r="L211" s="63" t="s">
        <v>65</v>
      </c>
      <c r="M211" s="64"/>
      <c r="N211" s="64"/>
      <c r="O211" s="63"/>
    </row>
    <row r="212" s="10" customFormat="1" ht="18" customHeight="1" spans="1:15">
      <c r="A212" s="42"/>
      <c r="B212" s="35">
        <f t="shared" si="26"/>
        <v>0</v>
      </c>
      <c r="C212" s="43"/>
      <c r="D212" s="44"/>
      <c r="E212" s="45"/>
      <c r="F212" s="35">
        <f t="shared" si="27"/>
        <v>0</v>
      </c>
      <c r="G212" s="47"/>
      <c r="H212" s="34">
        <v>43796</v>
      </c>
      <c r="I212" s="71">
        <v>-114880</v>
      </c>
      <c r="J212" s="64" t="s">
        <v>22</v>
      </c>
      <c r="K212" s="67" t="s">
        <v>199</v>
      </c>
      <c r="L212" s="63" t="s">
        <v>200</v>
      </c>
      <c r="M212" s="64" t="s">
        <v>224</v>
      </c>
      <c r="N212" s="64"/>
      <c r="O212" s="63"/>
    </row>
    <row r="213" s="10" customFormat="1" ht="18" customHeight="1" spans="1:15">
      <c r="A213" s="42"/>
      <c r="B213" s="35">
        <f t="shared" si="26"/>
        <v>0</v>
      </c>
      <c r="C213" s="43"/>
      <c r="D213" s="44"/>
      <c r="E213" s="45"/>
      <c r="F213" s="35">
        <f t="shared" si="27"/>
        <v>0</v>
      </c>
      <c r="G213" s="47"/>
      <c r="H213" s="34">
        <v>43798</v>
      </c>
      <c r="I213" s="71">
        <v>114880</v>
      </c>
      <c r="J213" s="64" t="s">
        <v>22</v>
      </c>
      <c r="K213" s="67" t="s">
        <v>46</v>
      </c>
      <c r="L213" s="63" t="s">
        <v>47</v>
      </c>
      <c r="M213" s="64"/>
      <c r="N213" s="64"/>
      <c r="O213" s="63"/>
    </row>
    <row r="214" s="10" customFormat="1" ht="18" customHeight="1" spans="1:15">
      <c r="A214" s="42">
        <v>43800</v>
      </c>
      <c r="B214" s="35">
        <f t="shared" si="26"/>
        <v>961165.05</v>
      </c>
      <c r="C214" s="43"/>
      <c r="D214" s="44" t="s">
        <v>37</v>
      </c>
      <c r="E214" s="83">
        <v>0.03</v>
      </c>
      <c r="F214" s="35">
        <f t="shared" si="27"/>
        <v>28834.95</v>
      </c>
      <c r="G214" s="47">
        <f>90000+100000*9</f>
        <v>990000</v>
      </c>
      <c r="H214" s="34">
        <v>43810</v>
      </c>
      <c r="I214" s="71">
        <v>600000</v>
      </c>
      <c r="J214" s="64" t="s">
        <v>22</v>
      </c>
      <c r="K214" s="67" t="s">
        <v>209</v>
      </c>
      <c r="L214" s="63" t="s">
        <v>225</v>
      </c>
      <c r="M214" s="64" t="s">
        <v>223</v>
      </c>
      <c r="N214" s="64" t="s">
        <v>223</v>
      </c>
      <c r="O214" s="63"/>
    </row>
    <row r="215" s="10" customFormat="1" ht="18" customHeight="1" spans="1:15">
      <c r="A215" s="42">
        <v>43800</v>
      </c>
      <c r="B215" s="35">
        <f t="shared" si="26"/>
        <v>388349.51</v>
      </c>
      <c r="C215" s="43"/>
      <c r="D215" s="44" t="s">
        <v>37</v>
      </c>
      <c r="E215" s="83">
        <v>0.03</v>
      </c>
      <c r="F215" s="35">
        <f t="shared" si="27"/>
        <v>11650.49</v>
      </c>
      <c r="G215" s="47">
        <f>100000*4</f>
        <v>400000</v>
      </c>
      <c r="H215" s="34">
        <v>43810</v>
      </c>
      <c r="I215" s="71">
        <v>400000</v>
      </c>
      <c r="J215" s="64" t="s">
        <v>22</v>
      </c>
      <c r="K215" s="67" t="s">
        <v>160</v>
      </c>
      <c r="L215" s="63" t="s">
        <v>226</v>
      </c>
      <c r="M215" s="64" t="s">
        <v>223</v>
      </c>
      <c r="N215" s="64" t="s">
        <v>223</v>
      </c>
      <c r="O215" s="63"/>
    </row>
    <row r="216" s="10" customFormat="1" ht="18" customHeight="1" spans="1:15">
      <c r="A216" s="42">
        <v>43800</v>
      </c>
      <c r="B216" s="35">
        <f t="shared" si="26"/>
        <v>85164.6</v>
      </c>
      <c r="C216" s="43"/>
      <c r="D216" s="44" t="s">
        <v>37</v>
      </c>
      <c r="E216" s="83">
        <v>0.13</v>
      </c>
      <c r="F216" s="35">
        <f t="shared" si="27"/>
        <v>11071.4</v>
      </c>
      <c r="G216" s="47">
        <v>96236</v>
      </c>
      <c r="H216" s="34">
        <v>43816</v>
      </c>
      <c r="I216" s="71">
        <v>96236</v>
      </c>
      <c r="J216" s="64" t="s">
        <v>22</v>
      </c>
      <c r="K216" s="67" t="s">
        <v>108</v>
      </c>
      <c r="L216" s="63" t="s">
        <v>227</v>
      </c>
      <c r="M216" s="64" t="s">
        <v>223</v>
      </c>
      <c r="N216" s="64" t="s">
        <v>223</v>
      </c>
      <c r="O216" s="63"/>
    </row>
    <row r="217" s="10" customFormat="1" ht="18" customHeight="1" spans="1:15">
      <c r="A217" s="42">
        <v>43800</v>
      </c>
      <c r="B217" s="35">
        <f t="shared" si="26"/>
        <v>472106.19</v>
      </c>
      <c r="C217" s="43"/>
      <c r="D217" s="44" t="s">
        <v>37</v>
      </c>
      <c r="E217" s="83">
        <v>0.13</v>
      </c>
      <c r="F217" s="35">
        <f t="shared" si="27"/>
        <v>61373.81</v>
      </c>
      <c r="G217" s="47">
        <f>80000+30400+14880+100000+107200+100000+101000</f>
        <v>533480</v>
      </c>
      <c r="H217" s="34">
        <v>43816</v>
      </c>
      <c r="I217" s="71">
        <v>110400</v>
      </c>
      <c r="J217" s="64" t="s">
        <v>22</v>
      </c>
      <c r="K217" s="67" t="s">
        <v>46</v>
      </c>
      <c r="L217" s="63" t="s">
        <v>228</v>
      </c>
      <c r="M217" s="64" t="s">
        <v>223</v>
      </c>
      <c r="N217" s="64" t="s">
        <v>223</v>
      </c>
      <c r="O217" s="63"/>
    </row>
    <row r="218" s="10" customFormat="1" ht="18" customHeight="1" spans="1:15">
      <c r="A218" s="42">
        <v>43800</v>
      </c>
      <c r="B218" s="35">
        <f t="shared" si="26"/>
        <v>3700</v>
      </c>
      <c r="C218" s="43"/>
      <c r="D218" s="44" t="s">
        <v>190</v>
      </c>
      <c r="E218" s="45"/>
      <c r="F218" s="35">
        <f t="shared" si="27"/>
        <v>0</v>
      </c>
      <c r="G218" s="47">
        <v>3700</v>
      </c>
      <c r="H218" s="34"/>
      <c r="I218" s="71"/>
      <c r="J218" s="64"/>
      <c r="K218" s="67" t="s">
        <v>229</v>
      </c>
      <c r="L218" s="63" t="s">
        <v>230</v>
      </c>
      <c r="M218" s="64"/>
      <c r="N218" s="64" t="s">
        <v>231</v>
      </c>
      <c r="O218" s="63"/>
    </row>
    <row r="219" s="10" customFormat="1" ht="18" customHeight="1" spans="1:15">
      <c r="A219" s="42">
        <v>43800</v>
      </c>
      <c r="B219" s="35">
        <f t="shared" si="26"/>
        <v>11798</v>
      </c>
      <c r="C219" s="43"/>
      <c r="D219" s="44" t="s">
        <v>53</v>
      </c>
      <c r="E219" s="45"/>
      <c r="F219" s="35">
        <f t="shared" si="27"/>
        <v>0</v>
      </c>
      <c r="G219" s="47">
        <f>370+670+500+600+200+480+600+200+240+220+300+400+325+200+800+370+65+260+350+300+330+330+200+549+324+350+370+200+390+260+375+320+350</f>
        <v>11798</v>
      </c>
      <c r="H219" s="34"/>
      <c r="I219" s="71"/>
      <c r="J219" s="64"/>
      <c r="K219" s="67" t="s">
        <v>107</v>
      </c>
      <c r="L219" s="63"/>
      <c r="M219" s="64"/>
      <c r="N219" s="64"/>
      <c r="O219" s="63"/>
    </row>
    <row r="220" s="10" customFormat="1" ht="18" customHeight="1" spans="1:15">
      <c r="A220" s="42">
        <v>43800</v>
      </c>
      <c r="B220" s="35">
        <f t="shared" si="26"/>
        <v>1930</v>
      </c>
      <c r="C220" s="43"/>
      <c r="D220" s="44" t="s">
        <v>53</v>
      </c>
      <c r="E220" s="45"/>
      <c r="F220" s="35">
        <f t="shared" si="27"/>
        <v>0</v>
      </c>
      <c r="G220" s="47">
        <v>1930</v>
      </c>
      <c r="H220" s="34"/>
      <c r="I220" s="71"/>
      <c r="J220" s="64"/>
      <c r="K220" s="67" t="s">
        <v>106</v>
      </c>
      <c r="L220" s="63"/>
      <c r="M220" s="64"/>
      <c r="N220" s="64"/>
      <c r="O220" s="63"/>
    </row>
    <row r="221" s="10" customFormat="1" ht="18" customHeight="1" spans="1:15">
      <c r="A221" s="42">
        <v>43800</v>
      </c>
      <c r="B221" s="35">
        <f t="shared" si="26"/>
        <v>7044.25</v>
      </c>
      <c r="C221" s="43"/>
      <c r="D221" s="44" t="s">
        <v>37</v>
      </c>
      <c r="E221" s="83">
        <v>0.13</v>
      </c>
      <c r="F221" s="35">
        <f t="shared" si="27"/>
        <v>915.75</v>
      </c>
      <c r="G221" s="47">
        <f>6800+1160</f>
        <v>7960</v>
      </c>
      <c r="H221" s="34"/>
      <c r="I221" s="71"/>
      <c r="J221" s="64"/>
      <c r="K221" s="67" t="s">
        <v>232</v>
      </c>
      <c r="L221" s="63"/>
      <c r="M221" s="64"/>
      <c r="N221" s="64" t="s">
        <v>231</v>
      </c>
      <c r="O221" s="63"/>
    </row>
    <row r="222" s="10" customFormat="1" ht="18" customHeight="1" spans="1:15">
      <c r="A222" s="42">
        <v>43800</v>
      </c>
      <c r="B222" s="35">
        <f t="shared" ref="B222:B253" si="28">ROUND(G222/(1+E222),2)</f>
        <v>1201</v>
      </c>
      <c r="C222" s="43"/>
      <c r="D222" s="44" t="s">
        <v>53</v>
      </c>
      <c r="E222" s="45"/>
      <c r="F222" s="35">
        <f t="shared" ref="F222:F252" si="29">ROUND(G222/(1+E222)*E222,2)</f>
        <v>0</v>
      </c>
      <c r="G222" s="47">
        <f>848+353</f>
        <v>1201</v>
      </c>
      <c r="H222" s="34"/>
      <c r="I222" s="71"/>
      <c r="J222" s="64"/>
      <c r="K222" s="67" t="s">
        <v>65</v>
      </c>
      <c r="L222" s="63" t="s">
        <v>233</v>
      </c>
      <c r="M222" s="64"/>
      <c r="N222" s="64" t="s">
        <v>231</v>
      </c>
      <c r="O222" s="63"/>
    </row>
    <row r="223" s="10" customFormat="1" ht="18" customHeight="1" spans="1:15">
      <c r="A223" s="42">
        <v>43800</v>
      </c>
      <c r="B223" s="35">
        <f t="shared" si="28"/>
        <v>1515</v>
      </c>
      <c r="C223" s="43"/>
      <c r="D223" s="44" t="s">
        <v>53</v>
      </c>
      <c r="E223" s="45"/>
      <c r="F223" s="35">
        <f t="shared" si="29"/>
        <v>0</v>
      </c>
      <c r="G223" s="47">
        <f>460+335+340+380</f>
        <v>1515</v>
      </c>
      <c r="H223" s="34"/>
      <c r="I223" s="71"/>
      <c r="J223" s="64"/>
      <c r="K223" s="67" t="s">
        <v>65</v>
      </c>
      <c r="L223" s="63" t="s">
        <v>107</v>
      </c>
      <c r="M223" s="64"/>
      <c r="N223" s="64" t="s">
        <v>231</v>
      </c>
      <c r="O223" s="63"/>
    </row>
    <row r="224" s="10" customFormat="1" ht="18" customHeight="1" spans="1:15">
      <c r="A224" s="42">
        <v>43800</v>
      </c>
      <c r="B224" s="35">
        <f t="shared" si="28"/>
        <v>91337.02</v>
      </c>
      <c r="C224" s="43"/>
      <c r="D224" s="44" t="s">
        <v>53</v>
      </c>
      <c r="E224" s="45"/>
      <c r="F224" s="35">
        <f t="shared" si="29"/>
        <v>0</v>
      </c>
      <c r="G224" s="47">
        <f>9310+9260+4485+5000+6100+5100+5925+2420+1400+5200+295.02+1481+8800+4075+4000+4100+8000+6386</f>
        <v>91337.02</v>
      </c>
      <c r="H224" s="34"/>
      <c r="I224" s="71"/>
      <c r="J224" s="64"/>
      <c r="K224" s="67" t="s">
        <v>65</v>
      </c>
      <c r="L224" s="63" t="s">
        <v>234</v>
      </c>
      <c r="M224" s="64"/>
      <c r="N224" s="64" t="s">
        <v>231</v>
      </c>
      <c r="O224" s="63"/>
    </row>
    <row r="225" s="10" customFormat="1" ht="18" customHeight="1" spans="1:15">
      <c r="A225" s="42">
        <v>43800</v>
      </c>
      <c r="B225" s="35">
        <f t="shared" si="28"/>
        <v>46615</v>
      </c>
      <c r="C225" s="43"/>
      <c r="D225" s="44" t="s">
        <v>53</v>
      </c>
      <c r="E225" s="45"/>
      <c r="F225" s="35">
        <f t="shared" si="29"/>
        <v>0</v>
      </c>
      <c r="G225" s="47">
        <f>2175+2200+1400+2250+4940+1240+9800+1830+3200+3760+3840+9980</f>
        <v>46615</v>
      </c>
      <c r="H225" s="34"/>
      <c r="I225" s="71"/>
      <c r="J225" s="64"/>
      <c r="K225" s="67" t="s">
        <v>65</v>
      </c>
      <c r="L225" s="63" t="s">
        <v>235</v>
      </c>
      <c r="M225" s="64"/>
      <c r="N225" s="64" t="s">
        <v>231</v>
      </c>
      <c r="O225" s="63"/>
    </row>
    <row r="226" s="10" customFormat="1" ht="18" customHeight="1" spans="1:15">
      <c r="A226" s="42">
        <v>43800</v>
      </c>
      <c r="B226" s="35">
        <f t="shared" si="28"/>
        <v>65258.6</v>
      </c>
      <c r="C226" s="43"/>
      <c r="D226" s="44" t="s">
        <v>53</v>
      </c>
      <c r="E226" s="45"/>
      <c r="F226" s="35">
        <f t="shared" si="29"/>
        <v>0</v>
      </c>
      <c r="G226" s="47">
        <f>5815+15416+16985.6+10200+2142+14700</f>
        <v>65258.6</v>
      </c>
      <c r="H226" s="34"/>
      <c r="I226" s="71"/>
      <c r="J226" s="64"/>
      <c r="K226" s="67" t="s">
        <v>65</v>
      </c>
      <c r="L226" s="63" t="s">
        <v>236</v>
      </c>
      <c r="M226" s="64"/>
      <c r="N226" s="64" t="s">
        <v>231</v>
      </c>
      <c r="O226" s="63"/>
    </row>
    <row r="227" s="10" customFormat="1" ht="18" customHeight="1" spans="1:15">
      <c r="A227" s="42"/>
      <c r="B227" s="35">
        <f t="shared" si="28"/>
        <v>0</v>
      </c>
      <c r="C227" s="43"/>
      <c r="D227" s="44"/>
      <c r="E227" s="45"/>
      <c r="F227" s="35">
        <f t="shared" si="29"/>
        <v>0</v>
      </c>
      <c r="G227" s="47"/>
      <c r="H227" s="34">
        <v>43833</v>
      </c>
      <c r="I227" s="96">
        <v>134100</v>
      </c>
      <c r="J227" s="64" t="s">
        <v>22</v>
      </c>
      <c r="K227" s="67" t="s">
        <v>46</v>
      </c>
      <c r="L227" s="63"/>
      <c r="M227" s="64"/>
      <c r="N227" s="64"/>
      <c r="O227" s="63"/>
    </row>
    <row r="228" s="10" customFormat="1" ht="18" customHeight="1" spans="1:15">
      <c r="A228" s="42"/>
      <c r="B228" s="35">
        <f t="shared" si="28"/>
        <v>0</v>
      </c>
      <c r="C228" s="43"/>
      <c r="D228" s="44"/>
      <c r="E228" s="45"/>
      <c r="F228" s="35">
        <f t="shared" si="29"/>
        <v>0</v>
      </c>
      <c r="G228" s="47"/>
      <c r="H228" s="34">
        <v>43850</v>
      </c>
      <c r="I228" s="96">
        <v>800000</v>
      </c>
      <c r="J228" s="64" t="s">
        <v>22</v>
      </c>
      <c r="K228" s="67" t="s">
        <v>110</v>
      </c>
      <c r="L228" s="63" t="s">
        <v>225</v>
      </c>
      <c r="M228" s="64"/>
      <c r="N228" s="64"/>
      <c r="O228" s="63"/>
    </row>
    <row r="229" s="10" customFormat="1" ht="18" customHeight="1" spans="1:15">
      <c r="A229" s="42"/>
      <c r="B229" s="35">
        <f t="shared" si="28"/>
        <v>0</v>
      </c>
      <c r="C229" s="43"/>
      <c r="D229" s="44"/>
      <c r="E229" s="45"/>
      <c r="F229" s="35">
        <f t="shared" si="29"/>
        <v>0</v>
      </c>
      <c r="G229" s="47"/>
      <c r="H229" s="34">
        <v>43850</v>
      </c>
      <c r="I229" s="96">
        <v>1000000</v>
      </c>
      <c r="J229" s="64" t="s">
        <v>22</v>
      </c>
      <c r="K229" s="67" t="s">
        <v>209</v>
      </c>
      <c r="L229" s="63" t="s">
        <v>159</v>
      </c>
      <c r="M229" s="64"/>
      <c r="N229" s="64"/>
      <c r="O229" s="63"/>
    </row>
    <row r="230" s="10" customFormat="1" ht="18" customHeight="1" spans="1:15">
      <c r="A230" s="42"/>
      <c r="B230" s="35">
        <f t="shared" si="28"/>
        <v>0</v>
      </c>
      <c r="C230" s="43"/>
      <c r="D230" s="44"/>
      <c r="E230" s="45"/>
      <c r="F230" s="35">
        <f t="shared" si="29"/>
        <v>0</v>
      </c>
      <c r="G230" s="47"/>
      <c r="H230" s="34">
        <v>43850</v>
      </c>
      <c r="I230" s="96">
        <v>500000</v>
      </c>
      <c r="J230" s="64" t="s">
        <v>42</v>
      </c>
      <c r="K230" s="67" t="s">
        <v>162</v>
      </c>
      <c r="L230" s="63" t="s">
        <v>237</v>
      </c>
      <c r="M230" s="64"/>
      <c r="N230" s="64"/>
      <c r="O230" s="63"/>
    </row>
    <row r="231" s="10" customFormat="1" ht="18" customHeight="1" spans="1:15">
      <c r="A231" s="42"/>
      <c r="B231" s="35">
        <f t="shared" si="28"/>
        <v>0</v>
      </c>
      <c r="C231" s="43"/>
      <c r="D231" s="44"/>
      <c r="E231" s="45"/>
      <c r="F231" s="35">
        <f t="shared" si="29"/>
        <v>0</v>
      </c>
      <c r="G231" s="47"/>
      <c r="H231" s="34">
        <v>43850</v>
      </c>
      <c r="I231" s="96">
        <v>944992</v>
      </c>
      <c r="J231" s="64" t="s">
        <v>42</v>
      </c>
      <c r="K231" s="67" t="s">
        <v>160</v>
      </c>
      <c r="L231" s="63" t="s">
        <v>238</v>
      </c>
      <c r="M231" s="64"/>
      <c r="N231" s="64"/>
      <c r="O231" s="63"/>
    </row>
    <row r="232" s="10" customFormat="1" ht="18" customHeight="1" spans="1:16">
      <c r="A232" s="42">
        <v>43891</v>
      </c>
      <c r="B232" s="35">
        <f t="shared" si="28"/>
        <v>344652.43</v>
      </c>
      <c r="C232" s="43"/>
      <c r="D232" s="44" t="s">
        <v>37</v>
      </c>
      <c r="E232" s="83">
        <v>0.03</v>
      </c>
      <c r="F232" s="35">
        <f t="shared" si="29"/>
        <v>10339.57</v>
      </c>
      <c r="G232" s="47">
        <v>354992</v>
      </c>
      <c r="H232" s="34"/>
      <c r="I232" s="96"/>
      <c r="J232" s="64"/>
      <c r="K232" s="67" t="s">
        <v>160</v>
      </c>
      <c r="L232" s="63" t="s">
        <v>239</v>
      </c>
      <c r="M232" s="64"/>
      <c r="N232" s="64"/>
      <c r="O232" s="63"/>
      <c r="P232" s="100" t="s">
        <v>240</v>
      </c>
    </row>
    <row r="233" s="10" customFormat="1" ht="18" customHeight="1" spans="1:16">
      <c r="A233" s="42">
        <v>43891</v>
      </c>
      <c r="B233" s="35">
        <f t="shared" si="28"/>
        <v>500000</v>
      </c>
      <c r="C233" s="43"/>
      <c r="D233" s="44" t="s">
        <v>241</v>
      </c>
      <c r="E233" s="45"/>
      <c r="F233" s="35">
        <f t="shared" si="29"/>
        <v>0</v>
      </c>
      <c r="G233" s="47">
        <v>500000</v>
      </c>
      <c r="H233" s="34"/>
      <c r="I233" s="96"/>
      <c r="J233" s="64"/>
      <c r="K233" s="67" t="s">
        <v>162</v>
      </c>
      <c r="L233" s="63" t="s">
        <v>237</v>
      </c>
      <c r="M233" s="64"/>
      <c r="N233" s="64"/>
      <c r="O233" s="63"/>
      <c r="P233" s="100"/>
    </row>
    <row r="234" s="10" customFormat="1" ht="18" customHeight="1" spans="1:16">
      <c r="A234" s="42">
        <v>43891</v>
      </c>
      <c r="B234" s="35">
        <f t="shared" si="28"/>
        <v>776699.03</v>
      </c>
      <c r="C234" s="43"/>
      <c r="D234" s="44" t="s">
        <v>37</v>
      </c>
      <c r="E234" s="45">
        <v>0.03</v>
      </c>
      <c r="F234" s="35">
        <f t="shared" si="29"/>
        <v>23300.97</v>
      </c>
      <c r="G234" s="47">
        <v>800000</v>
      </c>
      <c r="H234" s="34"/>
      <c r="I234" s="96"/>
      <c r="J234" s="64"/>
      <c r="K234" s="67" t="s">
        <v>110</v>
      </c>
      <c r="L234" s="63" t="s">
        <v>242</v>
      </c>
      <c r="M234" s="64"/>
      <c r="N234" s="64"/>
      <c r="O234" s="63"/>
      <c r="P234" s="100"/>
    </row>
    <row r="235" s="10" customFormat="1" ht="18" customHeight="1" spans="1:16">
      <c r="A235" s="42">
        <v>43891</v>
      </c>
      <c r="B235" s="35">
        <f t="shared" si="28"/>
        <v>9674.39</v>
      </c>
      <c r="C235" s="43"/>
      <c r="D235" s="44" t="s">
        <v>53</v>
      </c>
      <c r="E235" s="45"/>
      <c r="F235" s="35">
        <f t="shared" si="29"/>
        <v>0</v>
      </c>
      <c r="G235" s="47">
        <v>9674.39</v>
      </c>
      <c r="H235" s="34"/>
      <c r="I235" s="96"/>
      <c r="J235" s="64"/>
      <c r="K235" s="67" t="s">
        <v>65</v>
      </c>
      <c r="L235" s="63" t="s">
        <v>243</v>
      </c>
      <c r="M235" s="64"/>
      <c r="N235" s="64"/>
      <c r="O235" s="63"/>
      <c r="P235" s="100"/>
    </row>
    <row r="236" s="10" customFormat="1" ht="18" customHeight="1" spans="1:15">
      <c r="A236" s="42"/>
      <c r="B236" s="35">
        <f t="shared" si="28"/>
        <v>0</v>
      </c>
      <c r="C236" s="43"/>
      <c r="D236" s="44"/>
      <c r="E236" s="45"/>
      <c r="F236" s="35">
        <f t="shared" si="29"/>
        <v>0</v>
      </c>
      <c r="G236" s="47"/>
      <c r="H236" s="34">
        <v>43922</v>
      </c>
      <c r="I236" s="96">
        <v>-168000</v>
      </c>
      <c r="J236" s="64" t="s">
        <v>42</v>
      </c>
      <c r="K236" s="67" t="s">
        <v>43</v>
      </c>
      <c r="L236" s="63"/>
      <c r="M236" s="64"/>
      <c r="N236" s="64"/>
      <c r="O236" s="63"/>
    </row>
    <row r="237" s="10" customFormat="1" ht="18" customHeight="1" spans="1:15">
      <c r="A237" s="42"/>
      <c r="B237" s="35">
        <f t="shared" si="28"/>
        <v>0</v>
      </c>
      <c r="C237" s="43"/>
      <c r="D237" s="44"/>
      <c r="E237" s="45"/>
      <c r="F237" s="35">
        <f t="shared" si="29"/>
        <v>0</v>
      </c>
      <c r="G237" s="47"/>
      <c r="H237" s="34">
        <v>43922</v>
      </c>
      <c r="I237" s="96">
        <v>168000</v>
      </c>
      <c r="J237" s="64" t="s">
        <v>22</v>
      </c>
      <c r="K237" s="67" t="s">
        <v>46</v>
      </c>
      <c r="L237" s="63" t="s">
        <v>244</v>
      </c>
      <c r="M237" s="64"/>
      <c r="N237" s="64"/>
      <c r="O237" s="63"/>
    </row>
    <row r="238" s="10" customFormat="1" ht="18" customHeight="1" spans="1:15">
      <c r="A238" s="42">
        <v>43941</v>
      </c>
      <c r="B238" s="35">
        <f t="shared" si="28"/>
        <v>118672.57</v>
      </c>
      <c r="C238" s="43"/>
      <c r="D238" s="44" t="s">
        <v>37</v>
      </c>
      <c r="E238" s="83">
        <v>0.13</v>
      </c>
      <c r="F238" s="35">
        <f t="shared" si="29"/>
        <v>15427.43</v>
      </c>
      <c r="G238" s="47">
        <v>134100</v>
      </c>
      <c r="H238" s="34"/>
      <c r="I238" s="96"/>
      <c r="J238" s="64"/>
      <c r="K238" s="67" t="s">
        <v>245</v>
      </c>
      <c r="L238" s="63" t="s">
        <v>47</v>
      </c>
      <c r="M238" s="64"/>
      <c r="N238" s="64"/>
      <c r="O238" s="63"/>
    </row>
    <row r="239" s="12" customFormat="1" ht="18" customHeight="1" spans="1:15">
      <c r="A239" s="84">
        <v>43941</v>
      </c>
      <c r="B239" s="85">
        <f t="shared" si="28"/>
        <v>148672.57</v>
      </c>
      <c r="C239" s="86"/>
      <c r="D239" s="87" t="s">
        <v>37</v>
      </c>
      <c r="E239" s="88">
        <v>0.13</v>
      </c>
      <c r="F239" s="85">
        <f t="shared" si="29"/>
        <v>19327.43</v>
      </c>
      <c r="G239" s="89">
        <v>168000</v>
      </c>
      <c r="H239" s="98"/>
      <c r="I239" s="101"/>
      <c r="J239" s="93"/>
      <c r="K239" s="94" t="s">
        <v>46</v>
      </c>
      <c r="L239" s="95" t="s">
        <v>47</v>
      </c>
      <c r="M239" s="93"/>
      <c r="N239" s="102"/>
      <c r="O239" s="103"/>
    </row>
    <row r="240" s="10" customFormat="1" ht="18" customHeight="1" spans="1:15">
      <c r="A240" s="42">
        <v>44228</v>
      </c>
      <c r="B240" s="35">
        <f t="shared" si="28"/>
        <v>291262.14</v>
      </c>
      <c r="C240" s="43">
        <v>1</v>
      </c>
      <c r="D240" s="44" t="s">
        <v>37</v>
      </c>
      <c r="E240" s="83">
        <v>0.03</v>
      </c>
      <c r="F240" s="35">
        <f t="shared" si="29"/>
        <v>8737.86</v>
      </c>
      <c r="G240" s="47">
        <v>300000</v>
      </c>
      <c r="H240" s="34">
        <v>44231</v>
      </c>
      <c r="I240" s="96">
        <v>300000</v>
      </c>
      <c r="J240" s="64" t="s">
        <v>22</v>
      </c>
      <c r="K240" s="67" t="s">
        <v>160</v>
      </c>
      <c r="L240" s="63" t="s">
        <v>238</v>
      </c>
      <c r="M240" s="64" t="s">
        <v>246</v>
      </c>
      <c r="N240" s="64"/>
      <c r="O240" s="63"/>
    </row>
    <row r="241" s="10" customFormat="1" ht="18" customHeight="1" spans="1:15">
      <c r="A241" s="42">
        <v>44228</v>
      </c>
      <c r="B241" s="35">
        <f t="shared" si="28"/>
        <v>1633663.37</v>
      </c>
      <c r="C241" s="43">
        <v>18</v>
      </c>
      <c r="D241" s="44" t="s">
        <v>37</v>
      </c>
      <c r="E241" s="83">
        <v>0.01</v>
      </c>
      <c r="F241" s="35">
        <f t="shared" si="29"/>
        <v>16336.63</v>
      </c>
      <c r="G241" s="47">
        <f>99600*3+95000*11+50000+57000+99700+99500</f>
        <v>1650000</v>
      </c>
      <c r="H241" s="34">
        <v>44231</v>
      </c>
      <c r="I241" s="96">
        <v>1650000</v>
      </c>
      <c r="J241" s="64" t="s">
        <v>22</v>
      </c>
      <c r="K241" s="67" t="s">
        <v>209</v>
      </c>
      <c r="L241" s="63" t="s">
        <v>159</v>
      </c>
      <c r="M241" s="64" t="s">
        <v>247</v>
      </c>
      <c r="N241" s="64"/>
      <c r="O241" s="63"/>
    </row>
    <row r="242" s="10" customFormat="1" ht="18" customHeight="1" spans="1:15">
      <c r="A242" s="42">
        <v>44228</v>
      </c>
      <c r="B242" s="35">
        <f t="shared" si="28"/>
        <v>257425.74</v>
      </c>
      <c r="C242" s="43">
        <v>3</v>
      </c>
      <c r="D242" s="44" t="s">
        <v>37</v>
      </c>
      <c r="E242" s="83">
        <v>0.01</v>
      </c>
      <c r="F242" s="35">
        <f t="shared" si="29"/>
        <v>2574.26</v>
      </c>
      <c r="G242" s="47">
        <f>90000+90000+80000</f>
        <v>260000</v>
      </c>
      <c r="H242" s="34">
        <v>44235</v>
      </c>
      <c r="I242" s="96">
        <v>260000</v>
      </c>
      <c r="J242" s="64" t="s">
        <v>22</v>
      </c>
      <c r="K242" s="67" t="s">
        <v>110</v>
      </c>
      <c r="L242" s="63" t="s">
        <v>225</v>
      </c>
      <c r="M242" s="64"/>
      <c r="N242" s="64"/>
      <c r="O242" s="63"/>
    </row>
    <row r="243" s="13" customFormat="1" ht="31" customHeight="1" spans="1:15">
      <c r="A243" s="42">
        <v>44348</v>
      </c>
      <c r="B243" s="35">
        <v>966019.43</v>
      </c>
      <c r="C243" s="43">
        <v>1</v>
      </c>
      <c r="D243" s="44" t="s">
        <v>37</v>
      </c>
      <c r="E243" s="83">
        <v>0.03</v>
      </c>
      <c r="F243" s="35">
        <v>28980.57</v>
      </c>
      <c r="G243" s="47">
        <v>995000</v>
      </c>
      <c r="H243" s="30"/>
      <c r="I243" s="96"/>
      <c r="J243" s="64"/>
      <c r="K243" s="67" t="s">
        <v>160</v>
      </c>
      <c r="L243" s="104" t="s">
        <v>296</v>
      </c>
      <c r="M243" s="64" t="s">
        <v>246</v>
      </c>
      <c r="N243" s="105"/>
      <c r="O243" s="106"/>
    </row>
    <row r="244" s="13" customFormat="1" ht="18" customHeight="1" spans="1:15">
      <c r="A244" s="42">
        <v>44348</v>
      </c>
      <c r="B244" s="35">
        <f t="shared" ref="B243:B248" si="30">ROUND(G244/(1+E244),2)</f>
        <v>1491584.16</v>
      </c>
      <c r="C244" s="43">
        <v>16</v>
      </c>
      <c r="D244" s="44" t="s">
        <v>37</v>
      </c>
      <c r="E244" s="83">
        <v>0.01</v>
      </c>
      <c r="F244" s="35">
        <f t="shared" ref="F243:F248" si="31">ROUND(G244/(1+E244)*E244,2)</f>
        <v>14915.84</v>
      </c>
      <c r="G244" s="47">
        <f>96000+90000+90000+97500+90000+90000+90000+95000+95000+95000+95000+95000+100000+100000+90000+98000</f>
        <v>1506500</v>
      </c>
      <c r="H244" s="30"/>
      <c r="I244" s="96"/>
      <c r="J244" s="64"/>
      <c r="K244" s="67" t="s">
        <v>110</v>
      </c>
      <c r="L244" s="63" t="s">
        <v>225</v>
      </c>
      <c r="M244" s="64" t="s">
        <v>297</v>
      </c>
      <c r="N244" s="105"/>
      <c r="O244" s="106"/>
    </row>
    <row r="245" s="13" customFormat="1" ht="18" customHeight="1" spans="1:15">
      <c r="A245" s="42"/>
      <c r="B245" s="35">
        <f t="shared" si="30"/>
        <v>0</v>
      </c>
      <c r="C245" s="43"/>
      <c r="D245" s="44"/>
      <c r="E245" s="83"/>
      <c r="F245" s="35">
        <f t="shared" si="31"/>
        <v>0</v>
      </c>
      <c r="G245" s="47"/>
      <c r="H245" s="99">
        <v>44362</v>
      </c>
      <c r="I245" s="107">
        <v>797000</v>
      </c>
      <c r="J245" s="105" t="s">
        <v>22</v>
      </c>
      <c r="K245" s="108" t="s">
        <v>110</v>
      </c>
      <c r="L245" s="106" t="s">
        <v>298</v>
      </c>
      <c r="M245" s="64" t="s">
        <v>297</v>
      </c>
      <c r="N245" s="105"/>
      <c r="O245" s="106"/>
    </row>
    <row r="246" s="13" customFormat="1" ht="18" customHeight="1" spans="1:15">
      <c r="A246" s="42"/>
      <c r="B246" s="35">
        <f t="shared" si="30"/>
        <v>0</v>
      </c>
      <c r="C246" s="43"/>
      <c r="D246" s="44"/>
      <c r="E246" s="83"/>
      <c r="F246" s="35">
        <f t="shared" si="31"/>
        <v>0</v>
      </c>
      <c r="G246" s="47"/>
      <c r="H246" s="99">
        <v>44362</v>
      </c>
      <c r="I246" s="107">
        <v>582225</v>
      </c>
      <c r="J246" s="105" t="s">
        <v>22</v>
      </c>
      <c r="K246" s="108" t="s">
        <v>160</v>
      </c>
      <c r="L246" s="106" t="s">
        <v>299</v>
      </c>
      <c r="M246" s="64" t="s">
        <v>246</v>
      </c>
      <c r="N246" s="105"/>
      <c r="O246" s="106"/>
    </row>
    <row r="247" s="13" customFormat="1" ht="18" customHeight="1" spans="1:15">
      <c r="A247" s="42"/>
      <c r="B247" s="35">
        <f t="shared" si="30"/>
        <v>0</v>
      </c>
      <c r="C247" s="43"/>
      <c r="D247" s="44"/>
      <c r="E247" s="83"/>
      <c r="F247" s="35">
        <f t="shared" si="31"/>
        <v>0</v>
      </c>
      <c r="G247" s="47"/>
      <c r="H247" s="99">
        <v>44362</v>
      </c>
      <c r="I247" s="107">
        <v>387200</v>
      </c>
      <c r="J247" s="105" t="s">
        <v>22</v>
      </c>
      <c r="K247" s="108" t="s">
        <v>209</v>
      </c>
      <c r="L247" s="106" t="s">
        <v>159</v>
      </c>
      <c r="M247" s="64"/>
      <c r="N247" s="105"/>
      <c r="O247" s="106"/>
    </row>
    <row r="248" s="13" customFormat="1" ht="18" customHeight="1" spans="1:15">
      <c r="A248" s="42"/>
      <c r="B248" s="35">
        <f t="shared" si="30"/>
        <v>0</v>
      </c>
      <c r="C248" s="43"/>
      <c r="D248" s="44"/>
      <c r="E248" s="83"/>
      <c r="F248" s="35">
        <f t="shared" si="31"/>
        <v>0</v>
      </c>
      <c r="G248" s="47"/>
      <c r="H248" s="30"/>
      <c r="I248" s="96"/>
      <c r="J248" s="64"/>
      <c r="K248" s="67"/>
      <c r="L248" s="63"/>
      <c r="M248" s="64"/>
      <c r="N248" s="105"/>
      <c r="O248" s="106"/>
    </row>
    <row r="249" s="13" customFormat="1" ht="18" customHeight="1" spans="1:15">
      <c r="A249" s="42"/>
      <c r="B249" s="35"/>
      <c r="C249" s="43"/>
      <c r="D249" s="44"/>
      <c r="E249" s="83"/>
      <c r="F249" s="35"/>
      <c r="G249" s="47"/>
      <c r="H249" s="30"/>
      <c r="I249" s="96"/>
      <c r="J249" s="64"/>
      <c r="K249" s="67"/>
      <c r="L249" s="63"/>
      <c r="M249" s="64"/>
      <c r="N249" s="105"/>
      <c r="O249" s="106"/>
    </row>
    <row r="250" s="13" customFormat="1" ht="18" customHeight="1" spans="1:15">
      <c r="A250" s="42"/>
      <c r="B250" s="35"/>
      <c r="C250" s="43"/>
      <c r="D250" s="44"/>
      <c r="E250" s="83"/>
      <c r="F250" s="35"/>
      <c r="G250" s="47"/>
      <c r="H250" s="30"/>
      <c r="I250" s="96"/>
      <c r="J250" s="64"/>
      <c r="K250" s="67"/>
      <c r="L250" s="63"/>
      <c r="M250" s="64"/>
      <c r="N250" s="105"/>
      <c r="O250" s="106"/>
    </row>
    <row r="251" s="13" customFormat="1" ht="18" customHeight="1" spans="1:15">
      <c r="A251" s="42"/>
      <c r="B251" s="35"/>
      <c r="C251" s="43"/>
      <c r="D251" s="44"/>
      <c r="E251" s="83"/>
      <c r="F251" s="35"/>
      <c r="G251" s="47"/>
      <c r="H251" s="30"/>
      <c r="I251" s="96"/>
      <c r="J251" s="64"/>
      <c r="K251" s="67"/>
      <c r="L251" s="63"/>
      <c r="M251" s="64"/>
      <c r="N251" s="105"/>
      <c r="O251" s="106"/>
    </row>
    <row r="252" s="13" customFormat="1" ht="18" customHeight="1" spans="1:15">
      <c r="A252" s="42"/>
      <c r="B252" s="35"/>
      <c r="C252" s="43"/>
      <c r="D252" s="44"/>
      <c r="E252" s="83"/>
      <c r="F252" s="35"/>
      <c r="G252" s="47"/>
      <c r="H252" s="99"/>
      <c r="I252" s="107"/>
      <c r="J252" s="105"/>
      <c r="K252" s="108"/>
      <c r="L252" s="63"/>
      <c r="M252" s="64"/>
      <c r="N252" s="105"/>
      <c r="O252" s="106"/>
    </row>
    <row r="253" s="13" customFormat="1" ht="18" customHeight="1" spans="1:15">
      <c r="A253" s="42"/>
      <c r="B253" s="35"/>
      <c r="C253" s="43"/>
      <c r="D253" s="44"/>
      <c r="E253" s="83"/>
      <c r="F253" s="35"/>
      <c r="G253" s="47"/>
      <c r="H253" s="34">
        <v>44363</v>
      </c>
      <c r="I253" s="96">
        <v>19461.05</v>
      </c>
      <c r="J253" s="64" t="s">
        <v>252</v>
      </c>
      <c r="K253" s="67" t="s">
        <v>269</v>
      </c>
      <c r="L253" s="63"/>
      <c r="M253" s="64"/>
      <c r="N253" s="105"/>
      <c r="O253" s="106"/>
    </row>
    <row r="254" s="13" customFormat="1" ht="18" customHeight="1" spans="1:15">
      <c r="A254" s="42"/>
      <c r="B254" s="35"/>
      <c r="C254" s="43"/>
      <c r="D254" s="44"/>
      <c r="E254" s="83"/>
      <c r="F254" s="35"/>
      <c r="G254" s="47"/>
      <c r="H254" s="34">
        <v>44363</v>
      </c>
      <c r="I254" s="96">
        <v>104265.51</v>
      </c>
      <c r="J254" s="64" t="s">
        <v>252</v>
      </c>
      <c r="K254" s="67" t="s">
        <v>300</v>
      </c>
      <c r="L254" s="63"/>
      <c r="M254" s="64"/>
      <c r="N254" s="105"/>
      <c r="O254" s="106"/>
    </row>
    <row r="255" s="13" customFormat="1" ht="18" customHeight="1" spans="1:15">
      <c r="A255" s="42"/>
      <c r="B255" s="35"/>
      <c r="C255" s="43"/>
      <c r="D255" s="44"/>
      <c r="E255" s="83"/>
      <c r="F255" s="35"/>
      <c r="G255" s="47"/>
      <c r="H255" s="34">
        <v>44363</v>
      </c>
      <c r="I255" s="96">
        <v>1785.42</v>
      </c>
      <c r="J255" s="64" t="s">
        <v>252</v>
      </c>
      <c r="K255" s="67" t="s">
        <v>289</v>
      </c>
      <c r="L255" s="63"/>
      <c r="M255" s="64"/>
      <c r="N255" s="105"/>
      <c r="O255" s="106"/>
    </row>
    <row r="256" s="13" customFormat="1" ht="18" customHeight="1" spans="1:15">
      <c r="A256" s="42"/>
      <c r="B256" s="35"/>
      <c r="C256" s="43"/>
      <c r="D256" s="44"/>
      <c r="E256" s="83"/>
      <c r="F256" s="35"/>
      <c r="G256" s="47"/>
      <c r="H256" s="30">
        <v>44334</v>
      </c>
      <c r="I256" s="96">
        <v>0.01</v>
      </c>
      <c r="J256" s="64" t="s">
        <v>301</v>
      </c>
      <c r="K256" s="67" t="s">
        <v>302</v>
      </c>
      <c r="L256" s="63"/>
      <c r="M256" s="64"/>
      <c r="N256" s="105"/>
      <c r="O256" s="106"/>
    </row>
    <row r="257" s="13" customFormat="1" ht="18" customHeight="1" spans="1:15">
      <c r="A257" s="109"/>
      <c r="B257" s="24">
        <f>ROUND(G257/(1+E257),2)</f>
        <v>0</v>
      </c>
      <c r="C257" s="110"/>
      <c r="D257" s="111"/>
      <c r="E257" s="112"/>
      <c r="F257" s="24">
        <f>ROUND(G257/(1+E257)*E257,2)</f>
        <v>0</v>
      </c>
      <c r="G257" s="113"/>
      <c r="H257" s="30"/>
      <c r="I257" s="127">
        <v>-256277.145747716</v>
      </c>
      <c r="J257" s="64" t="s">
        <v>249</v>
      </c>
      <c r="K257" s="67" t="s">
        <v>250</v>
      </c>
      <c r="L257" s="63"/>
      <c r="M257" s="64"/>
      <c r="N257" s="105"/>
      <c r="O257" s="106"/>
    </row>
    <row r="258" s="13" customFormat="1" ht="18" customHeight="1" spans="1:15">
      <c r="A258" s="109"/>
      <c r="B258" s="24">
        <f>ROUND(G258/(1+E258),2)</f>
        <v>0</v>
      </c>
      <c r="C258" s="110"/>
      <c r="D258" s="111"/>
      <c r="E258" s="112"/>
      <c r="F258" s="24">
        <f>ROUND(G258/(1+E258)*E258,2)</f>
        <v>0</v>
      </c>
      <c r="G258" s="113"/>
      <c r="H258" s="30" t="s">
        <v>251</v>
      </c>
      <c r="I258" s="128">
        <v>400</v>
      </c>
      <c r="J258" s="57" t="s">
        <v>252</v>
      </c>
      <c r="K258" s="129" t="s">
        <v>253</v>
      </c>
      <c r="L258" s="41"/>
      <c r="M258" s="105"/>
      <c r="N258" s="105"/>
      <c r="O258" s="106"/>
    </row>
    <row r="259" s="13" customFormat="1" ht="18" customHeight="1" spans="1:15">
      <c r="A259" s="109"/>
      <c r="B259" s="24">
        <f t="shared" ref="B257:B269" si="32">ROUND(G259/(1+E259),2)</f>
        <v>0</v>
      </c>
      <c r="C259" s="110"/>
      <c r="D259" s="111"/>
      <c r="E259" s="112"/>
      <c r="F259" s="24">
        <f>ROUND(G259/(1+E259)*E259,2)</f>
        <v>0</v>
      </c>
      <c r="G259" s="113"/>
      <c r="H259" s="30" t="s">
        <v>251</v>
      </c>
      <c r="I259" s="128">
        <v>256277.145747716</v>
      </c>
      <c r="J259" s="57" t="s">
        <v>254</v>
      </c>
      <c r="K259" s="129" t="s">
        <v>255</v>
      </c>
      <c r="L259" s="41"/>
      <c r="M259" s="105"/>
      <c r="N259" s="105"/>
      <c r="O259" s="106"/>
    </row>
    <row r="260" s="13" customFormat="1" ht="18" customHeight="1" spans="1:15">
      <c r="A260" s="109"/>
      <c r="B260" s="24">
        <f t="shared" si="32"/>
        <v>0</v>
      </c>
      <c r="C260" s="110"/>
      <c r="D260" s="111"/>
      <c r="E260" s="112"/>
      <c r="F260" s="24">
        <f>ROUND(G260/(1+E260)*E260,2)</f>
        <v>0</v>
      </c>
      <c r="G260" s="113"/>
      <c r="H260" s="30" t="s">
        <v>251</v>
      </c>
      <c r="I260" s="128">
        <v>20077.55826</v>
      </c>
      <c r="J260" s="57" t="s">
        <v>252</v>
      </c>
      <c r="K260" s="129" t="s">
        <v>256</v>
      </c>
      <c r="L260" s="41"/>
      <c r="M260" s="105"/>
      <c r="N260" s="105"/>
      <c r="O260" s="106"/>
    </row>
    <row r="261" s="13" customFormat="1" ht="18" customHeight="1" spans="1:15">
      <c r="A261" s="109"/>
      <c r="B261" s="24">
        <f t="shared" si="32"/>
        <v>0</v>
      </c>
      <c r="C261" s="110"/>
      <c r="D261" s="111"/>
      <c r="E261" s="112"/>
      <c r="F261" s="24">
        <f t="shared" ref="F257:F263" si="33">ROUND(G261/(1+E261)*E261,2)</f>
        <v>0</v>
      </c>
      <c r="G261" s="113"/>
      <c r="H261" s="30" t="s">
        <v>251</v>
      </c>
      <c r="I261" s="130">
        <v>185728.975677064</v>
      </c>
      <c r="J261" s="57" t="s">
        <v>252</v>
      </c>
      <c r="K261" s="129" t="s">
        <v>257</v>
      </c>
      <c r="L261" s="41"/>
      <c r="M261" s="105"/>
      <c r="N261" s="105"/>
      <c r="O261" s="106"/>
    </row>
    <row r="262" s="13" customFormat="1" ht="18" customHeight="1" spans="1:15">
      <c r="A262" s="109"/>
      <c r="B262" s="24">
        <f t="shared" si="32"/>
        <v>0</v>
      </c>
      <c r="C262" s="110"/>
      <c r="D262" s="111"/>
      <c r="E262" s="114"/>
      <c r="F262" s="24">
        <f t="shared" si="33"/>
        <v>0</v>
      </c>
      <c r="G262" s="113"/>
      <c r="H262" s="30" t="s">
        <v>258</v>
      </c>
      <c r="I262" s="128">
        <v>-100</v>
      </c>
      <c r="J262" s="57" t="s">
        <v>259</v>
      </c>
      <c r="K262" s="129" t="s">
        <v>260</v>
      </c>
      <c r="L262" s="41"/>
      <c r="M262" s="105"/>
      <c r="N262" s="105"/>
      <c r="O262" s="106"/>
    </row>
    <row r="263" s="13" customFormat="1" ht="18" customHeight="1" spans="1:15">
      <c r="A263" s="109"/>
      <c r="B263" s="24">
        <f t="shared" si="32"/>
        <v>0</v>
      </c>
      <c r="C263" s="110"/>
      <c r="D263" s="111"/>
      <c r="E263" s="114"/>
      <c r="F263" s="24">
        <f t="shared" si="33"/>
        <v>0</v>
      </c>
      <c r="G263" s="113"/>
      <c r="H263" s="30" t="s">
        <v>258</v>
      </c>
      <c r="I263" s="128">
        <v>100</v>
      </c>
      <c r="J263" s="57" t="s">
        <v>252</v>
      </c>
      <c r="K263" s="129" t="s">
        <v>253</v>
      </c>
      <c r="L263" s="41"/>
      <c r="M263" s="105"/>
      <c r="N263" s="105"/>
      <c r="O263" s="106"/>
    </row>
    <row r="264" s="13" customFormat="1" ht="18" customHeight="1" spans="1:15">
      <c r="A264" s="109"/>
      <c r="B264" s="24">
        <f t="shared" si="32"/>
        <v>0</v>
      </c>
      <c r="C264" s="110"/>
      <c r="D264" s="111"/>
      <c r="E264" s="114"/>
      <c r="F264" s="24">
        <f t="shared" ref="F262:F271" si="34">ROUND(G264/(1+E264)*E264,2)</f>
        <v>0</v>
      </c>
      <c r="G264" s="113"/>
      <c r="H264" s="30" t="s">
        <v>261</v>
      </c>
      <c r="I264" s="131">
        <v>500</v>
      </c>
      <c r="J264" s="57" t="s">
        <v>252</v>
      </c>
      <c r="K264" s="129" t="s">
        <v>253</v>
      </c>
      <c r="L264" s="41"/>
      <c r="M264" s="105"/>
      <c r="N264" s="105"/>
      <c r="O264" s="106"/>
    </row>
    <row r="265" s="13" customFormat="1" ht="18" customHeight="1" spans="1:16">
      <c r="A265" s="109" t="s">
        <v>16</v>
      </c>
      <c r="B265" s="24">
        <f t="shared" si="32"/>
        <v>0</v>
      </c>
      <c r="C265" s="110"/>
      <c r="D265" s="111"/>
      <c r="E265" s="114"/>
      <c r="F265" s="24">
        <f t="shared" si="34"/>
        <v>0</v>
      </c>
      <c r="G265" s="113"/>
      <c r="H265" s="30" t="s">
        <v>261</v>
      </c>
      <c r="I265" s="131">
        <v>6300</v>
      </c>
      <c r="J265" s="57" t="s">
        <v>252</v>
      </c>
      <c r="K265" s="129" t="s">
        <v>262</v>
      </c>
      <c r="L265" s="41"/>
      <c r="M265" s="105"/>
      <c r="N265" s="105"/>
      <c r="O265" s="106"/>
      <c r="P265" s="13">
        <f>I241-G241</f>
        <v>0</v>
      </c>
    </row>
    <row r="266" s="13" customFormat="1" ht="18" customHeight="1" spans="1:15">
      <c r="A266" s="109"/>
      <c r="B266" s="24">
        <f t="shared" si="32"/>
        <v>0</v>
      </c>
      <c r="C266" s="110"/>
      <c r="D266" s="111"/>
      <c r="E266" s="114"/>
      <c r="F266" s="24">
        <f t="shared" si="34"/>
        <v>0</v>
      </c>
      <c r="G266" s="113"/>
      <c r="H266" s="30" t="s">
        <v>261</v>
      </c>
      <c r="I266" s="131">
        <v>40462</v>
      </c>
      <c r="J266" s="57" t="s">
        <v>254</v>
      </c>
      <c r="K266" s="129" t="s">
        <v>255</v>
      </c>
      <c r="L266" s="41"/>
      <c r="M266" s="105"/>
      <c r="N266" s="105"/>
      <c r="O266" s="106"/>
    </row>
    <row r="267" s="13" customFormat="1" ht="18" customHeight="1" spans="1:15">
      <c r="A267" s="109"/>
      <c r="B267" s="24">
        <f t="shared" si="32"/>
        <v>0</v>
      </c>
      <c r="C267" s="110"/>
      <c r="D267" s="111"/>
      <c r="E267" s="114"/>
      <c r="F267" s="24">
        <f t="shared" si="34"/>
        <v>0</v>
      </c>
      <c r="G267" s="113"/>
      <c r="H267" s="30" t="s">
        <v>261</v>
      </c>
      <c r="I267" s="131">
        <v>28444</v>
      </c>
      <c r="J267" s="57" t="s">
        <v>252</v>
      </c>
      <c r="K267" s="129" t="s">
        <v>6</v>
      </c>
      <c r="L267" s="41"/>
      <c r="M267" s="105"/>
      <c r="N267" s="105"/>
      <c r="O267" s="106"/>
    </row>
    <row r="268" s="13" customFormat="1" ht="18" customHeight="1" spans="1:16">
      <c r="A268" s="109"/>
      <c r="B268" s="24">
        <f t="shared" si="32"/>
        <v>0</v>
      </c>
      <c r="C268" s="110"/>
      <c r="D268" s="111"/>
      <c r="E268" s="114"/>
      <c r="F268" s="24">
        <f t="shared" si="34"/>
        <v>0</v>
      </c>
      <c r="G268" s="113"/>
      <c r="H268" s="30" t="s">
        <v>261</v>
      </c>
      <c r="I268" s="132">
        <v>92503</v>
      </c>
      <c r="J268" s="57" t="s">
        <v>252</v>
      </c>
      <c r="K268" s="129" t="s">
        <v>263</v>
      </c>
      <c r="L268" s="41"/>
      <c r="M268" s="105"/>
      <c r="N268" s="105"/>
      <c r="O268" s="106"/>
      <c r="P268" s="13">
        <f>I259+I266</f>
        <v>296739.145747716</v>
      </c>
    </row>
    <row r="269" s="13" customFormat="1" ht="18" customHeight="1" spans="1:15">
      <c r="A269" s="109"/>
      <c r="B269" s="24">
        <f t="shared" si="32"/>
        <v>0</v>
      </c>
      <c r="C269" s="110"/>
      <c r="D269" s="111"/>
      <c r="E269" s="114"/>
      <c r="F269" s="24">
        <f t="shared" si="34"/>
        <v>0</v>
      </c>
      <c r="G269" s="113"/>
      <c r="H269" s="30">
        <v>43833</v>
      </c>
      <c r="I269" s="131">
        <v>100</v>
      </c>
      <c r="J269" s="57" t="s">
        <v>252</v>
      </c>
      <c r="K269" s="129" t="s">
        <v>264</v>
      </c>
      <c r="L269" s="41"/>
      <c r="M269" s="105"/>
      <c r="N269" s="105"/>
      <c r="O269" s="106"/>
    </row>
    <row r="270" s="13" customFormat="1" ht="18" customHeight="1" spans="1:15">
      <c r="A270" s="109"/>
      <c r="B270" s="24">
        <f t="shared" ref="B268:B276" si="35">ROUND(G270/(1+E270),2)</f>
        <v>0</v>
      </c>
      <c r="C270" s="110"/>
      <c r="D270" s="111"/>
      <c r="E270" s="114"/>
      <c r="F270" s="24">
        <f t="shared" si="34"/>
        <v>0</v>
      </c>
      <c r="G270" s="113"/>
      <c r="H270" s="30">
        <v>43816</v>
      </c>
      <c r="I270" s="131">
        <v>150</v>
      </c>
      <c r="J270" s="57" t="s">
        <v>252</v>
      </c>
      <c r="K270" s="129" t="s">
        <v>264</v>
      </c>
      <c r="L270" s="41"/>
      <c r="M270" s="105"/>
      <c r="N270" s="105"/>
      <c r="O270" s="106"/>
    </row>
    <row r="271" s="13" customFormat="1" ht="18" customHeight="1" spans="1:15">
      <c r="A271" s="109"/>
      <c r="B271" s="24">
        <f t="shared" si="35"/>
        <v>0</v>
      </c>
      <c r="C271" s="110"/>
      <c r="D271" s="111"/>
      <c r="E271" s="114"/>
      <c r="F271" s="24">
        <f t="shared" si="34"/>
        <v>0</v>
      </c>
      <c r="G271" s="113"/>
      <c r="H271" s="30">
        <v>43809</v>
      </c>
      <c r="I271" s="131">
        <v>200</v>
      </c>
      <c r="J271" s="57" t="s">
        <v>252</v>
      </c>
      <c r="K271" s="129" t="s">
        <v>264</v>
      </c>
      <c r="L271" s="41"/>
      <c r="M271" s="105"/>
      <c r="N271" s="105"/>
      <c r="O271" s="106"/>
    </row>
    <row r="272" s="13" customFormat="1" ht="18" customHeight="1" spans="1:15">
      <c r="A272" s="109"/>
      <c r="B272" s="24">
        <f t="shared" si="35"/>
        <v>0</v>
      </c>
      <c r="C272" s="110"/>
      <c r="D272" s="111"/>
      <c r="E272" s="114"/>
      <c r="F272" s="24">
        <f t="shared" ref="F270:F276" si="36">ROUND(G272/(1+E272)*E272,2)</f>
        <v>0</v>
      </c>
      <c r="G272" s="113"/>
      <c r="H272" s="30" t="s">
        <v>265</v>
      </c>
      <c r="I272" s="131">
        <v>1469.5</v>
      </c>
      <c r="J272" s="57" t="s">
        <v>252</v>
      </c>
      <c r="K272" s="129" t="s">
        <v>266</v>
      </c>
      <c r="L272" s="41"/>
      <c r="M272" s="105"/>
      <c r="N272" s="105"/>
      <c r="O272" s="106"/>
    </row>
    <row r="273" s="13" customFormat="1" ht="18" customHeight="1" spans="1:15">
      <c r="A273" s="109"/>
      <c r="B273" s="24">
        <f t="shared" si="35"/>
        <v>0</v>
      </c>
      <c r="C273" s="110"/>
      <c r="D273" s="111"/>
      <c r="E273" s="114"/>
      <c r="F273" s="24">
        <f t="shared" si="36"/>
        <v>0</v>
      </c>
      <c r="G273" s="113"/>
      <c r="H273" s="30" t="s">
        <v>265</v>
      </c>
      <c r="I273" s="131">
        <v>16881</v>
      </c>
      <c r="J273" s="57" t="s">
        <v>252</v>
      </c>
      <c r="K273" s="129" t="s">
        <v>6</v>
      </c>
      <c r="L273" s="41"/>
      <c r="M273" s="105"/>
      <c r="N273" s="105"/>
      <c r="O273" s="106"/>
    </row>
    <row r="274" s="13" customFormat="1" ht="18" customHeight="1" spans="1:15">
      <c r="A274" s="109"/>
      <c r="B274" s="24">
        <f t="shared" si="35"/>
        <v>0</v>
      </c>
      <c r="C274" s="110"/>
      <c r="D274" s="111"/>
      <c r="E274" s="114"/>
      <c r="F274" s="24">
        <f t="shared" si="36"/>
        <v>0</v>
      </c>
      <c r="G274" s="113"/>
      <c r="H274" s="30" t="s">
        <v>265</v>
      </c>
      <c r="I274" s="132">
        <v>42338</v>
      </c>
      <c r="J274" s="57" t="s">
        <v>252</v>
      </c>
      <c r="K274" s="129" t="s">
        <v>267</v>
      </c>
      <c r="L274" s="41"/>
      <c r="M274" s="105"/>
      <c r="N274" s="105"/>
      <c r="O274" s="106"/>
    </row>
    <row r="275" s="13" customFormat="1" ht="18" customHeight="1" spans="1:15">
      <c r="A275" s="109"/>
      <c r="B275" s="24">
        <f t="shared" si="35"/>
        <v>0</v>
      </c>
      <c r="C275" s="110"/>
      <c r="D275" s="111"/>
      <c r="E275" s="114"/>
      <c r="F275" s="24">
        <f t="shared" si="36"/>
        <v>0</v>
      </c>
      <c r="G275" s="115"/>
      <c r="H275" s="30" t="s">
        <v>265</v>
      </c>
      <c r="I275" s="131">
        <v>-31490</v>
      </c>
      <c r="J275" s="64" t="s">
        <v>249</v>
      </c>
      <c r="K275" s="67" t="s">
        <v>268</v>
      </c>
      <c r="L275" s="106"/>
      <c r="M275" s="105"/>
      <c r="N275" s="105"/>
      <c r="O275" s="106"/>
    </row>
    <row r="276" s="10" customFormat="1" ht="18" customHeight="1" spans="1:15">
      <c r="A276" s="42"/>
      <c r="B276" s="24">
        <f t="shared" si="35"/>
        <v>0</v>
      </c>
      <c r="C276" s="110"/>
      <c r="D276" s="111"/>
      <c r="E276" s="114"/>
      <c r="F276" s="24">
        <f t="shared" si="36"/>
        <v>0</v>
      </c>
      <c r="G276" s="47"/>
      <c r="H276" s="30"/>
      <c r="I276" s="131">
        <v>31490</v>
      </c>
      <c r="J276" s="57" t="s">
        <v>254</v>
      </c>
      <c r="K276" s="67" t="s">
        <v>269</v>
      </c>
      <c r="L276" s="63"/>
      <c r="M276" s="64"/>
      <c r="N276" s="64"/>
      <c r="O276" s="63"/>
    </row>
    <row r="277" s="10" customFormat="1" ht="18" customHeight="1" spans="1:15">
      <c r="A277" s="42"/>
      <c r="B277" s="24">
        <f t="shared" ref="B277:B281" si="37">ROUND(G277/(1+E277),2)</f>
        <v>0</v>
      </c>
      <c r="C277" s="110"/>
      <c r="D277" s="111"/>
      <c r="E277" s="114"/>
      <c r="F277" s="24">
        <f t="shared" ref="F276:F281" si="38">ROUND(G277/(1+E277)*E277,2)</f>
        <v>0</v>
      </c>
      <c r="G277" s="47"/>
      <c r="H277" s="30"/>
      <c r="I277" s="131">
        <v>30850</v>
      </c>
      <c r="J277" s="57" t="s">
        <v>252</v>
      </c>
      <c r="K277" s="67" t="s">
        <v>6</v>
      </c>
      <c r="L277" s="63"/>
      <c r="M277" s="64"/>
      <c r="N277" s="64"/>
      <c r="O277" s="63"/>
    </row>
    <row r="278" s="10" customFormat="1" ht="18" customHeight="1" spans="1:15">
      <c r="A278" s="42"/>
      <c r="B278" s="24">
        <f t="shared" si="37"/>
        <v>0</v>
      </c>
      <c r="C278" s="110"/>
      <c r="D278" s="111"/>
      <c r="E278" s="114"/>
      <c r="F278" s="24">
        <f t="shared" si="38"/>
        <v>0</v>
      </c>
      <c r="G278" s="47"/>
      <c r="H278" s="30"/>
      <c r="I278" s="133">
        <v>105565</v>
      </c>
      <c r="J278" s="57" t="s">
        <v>252</v>
      </c>
      <c r="K278" s="67" t="s">
        <v>270</v>
      </c>
      <c r="L278" s="63"/>
      <c r="M278" s="64"/>
      <c r="N278" s="64"/>
      <c r="O278" s="63"/>
    </row>
    <row r="279" s="10" customFormat="1" ht="18" customHeight="1" spans="1:15">
      <c r="A279" s="42"/>
      <c r="B279" s="35">
        <f t="shared" si="37"/>
        <v>0</v>
      </c>
      <c r="C279" s="43"/>
      <c r="D279" s="44"/>
      <c r="E279" s="45"/>
      <c r="F279" s="35">
        <f t="shared" si="38"/>
        <v>0</v>
      </c>
      <c r="G279" s="47"/>
      <c r="H279" s="30"/>
      <c r="I279" s="131">
        <v>500</v>
      </c>
      <c r="J279" s="57" t="s">
        <v>252</v>
      </c>
      <c r="K279" s="67" t="s">
        <v>271</v>
      </c>
      <c r="L279" s="63"/>
      <c r="M279" s="64"/>
      <c r="N279" s="64"/>
      <c r="O279" s="63"/>
    </row>
    <row r="280" s="10" customFormat="1" ht="18" customHeight="1" spans="1:15">
      <c r="A280" s="42"/>
      <c r="B280" s="35">
        <f t="shared" si="37"/>
        <v>209023</v>
      </c>
      <c r="C280" s="43"/>
      <c r="D280" s="44"/>
      <c r="E280" s="45"/>
      <c r="F280" s="35">
        <f t="shared" si="38"/>
        <v>0</v>
      </c>
      <c r="G280" s="47">
        <f>72063+136960</f>
        <v>209023</v>
      </c>
      <c r="H280" s="30"/>
      <c r="I280" s="131">
        <f>G280</f>
        <v>209023</v>
      </c>
      <c r="J280" s="57" t="s">
        <v>252</v>
      </c>
      <c r="K280" s="67" t="s">
        <v>272</v>
      </c>
      <c r="L280" s="63"/>
      <c r="M280" s="64"/>
      <c r="N280" s="64"/>
      <c r="O280" s="63"/>
    </row>
    <row r="281" s="10" customFormat="1" ht="18" customHeight="1" spans="1:15">
      <c r="A281" s="42"/>
      <c r="B281" s="35">
        <f t="shared" si="37"/>
        <v>0</v>
      </c>
      <c r="C281" s="43"/>
      <c r="D281" s="44"/>
      <c r="E281" s="45"/>
      <c r="F281" s="35">
        <f t="shared" si="38"/>
        <v>0</v>
      </c>
      <c r="G281" s="47"/>
      <c r="H281" s="116"/>
      <c r="I281" s="134"/>
      <c r="J281" s="135"/>
      <c r="K281" s="67"/>
      <c r="L281" s="63"/>
      <c r="M281" s="64"/>
      <c r="N281" s="64"/>
      <c r="O281" s="63"/>
    </row>
    <row r="282" ht="18" customHeight="1" spans="1:15">
      <c r="A282" s="39" t="s">
        <v>23</v>
      </c>
      <c r="B282" s="40">
        <f>SUM(B19:B281)</f>
        <v>18793986.14</v>
      </c>
      <c r="C282" s="39"/>
      <c r="D282" s="117"/>
      <c r="E282" s="117"/>
      <c r="F282" s="40">
        <f>SUM(F19:F281)</f>
        <v>821818.83</v>
      </c>
      <c r="G282" s="39">
        <f>SUM(G19:G281)</f>
        <v>19615804.97</v>
      </c>
      <c r="H282" s="118"/>
      <c r="I282" s="58">
        <f>SUM(I19:I281)</f>
        <v>17268818.1639371</v>
      </c>
      <c r="J282" s="136"/>
      <c r="K282" s="117"/>
      <c r="L282" s="41"/>
      <c r="M282" s="57"/>
      <c r="N282" s="57"/>
      <c r="O282" s="41"/>
    </row>
    <row r="283" ht="18" customHeight="1" spans="1:14">
      <c r="A283" s="119" t="s">
        <v>273</v>
      </c>
      <c r="B283" s="119">
        <f>B16*0.976</f>
        <v>17909425.5646239</v>
      </c>
      <c r="C283" s="119"/>
      <c r="D283" s="120"/>
      <c r="E283" s="120"/>
      <c r="F283" s="119"/>
      <c r="G283" s="119">
        <f>G16-G282</f>
        <v>385500.220000003</v>
      </c>
      <c r="H283" s="1" t="s">
        <v>274</v>
      </c>
      <c r="I283" s="58">
        <f>I16-I282</f>
        <v>108355.59606294</v>
      </c>
      <c r="J283" s="19"/>
      <c r="K283" s="137" t="s">
        <v>16</v>
      </c>
      <c r="M283" s="138"/>
      <c r="N283" s="138"/>
    </row>
    <row r="284" ht="18" customHeight="1" spans="1:16">
      <c r="A284" s="119" t="s">
        <v>275</v>
      </c>
      <c r="B284" s="119">
        <f>B283-B282</f>
        <v>-884560.575376101</v>
      </c>
      <c r="C284" s="119"/>
      <c r="D284" s="120"/>
      <c r="E284" s="120"/>
      <c r="F284" s="121"/>
      <c r="G284" s="121"/>
      <c r="H284" s="122"/>
      <c r="I284" s="139"/>
      <c r="J284" s="19"/>
      <c r="K284" s="137"/>
      <c r="M284" s="138"/>
      <c r="N284" s="138"/>
      <c r="O284" s="19" t="s">
        <v>16</v>
      </c>
      <c r="P284" s="19">
        <f>I266+I276+I275+I259</f>
        <v>296739.145747716</v>
      </c>
    </row>
    <row r="285" ht="18" customHeight="1" spans="1:3">
      <c r="A285" s="14" t="s">
        <v>276</v>
      </c>
      <c r="C285" s="14"/>
    </row>
    <row r="286" ht="18" customHeight="1" spans="1:14">
      <c r="A286" s="1" t="s">
        <v>277</v>
      </c>
      <c r="B286" s="3" t="s">
        <v>278</v>
      </c>
      <c r="C286" s="41"/>
      <c r="D286" s="1" t="s">
        <v>277</v>
      </c>
      <c r="E286" s="2" t="s">
        <v>17</v>
      </c>
      <c r="F286" s="3" t="s">
        <v>278</v>
      </c>
      <c r="H286" s="3" t="s">
        <v>279</v>
      </c>
      <c r="I286" s="140" t="s">
        <v>280</v>
      </c>
      <c r="K286" s="141" t="s">
        <v>281</v>
      </c>
      <c r="L286" s="141" t="s">
        <v>282</v>
      </c>
      <c r="M286" s="141" t="s">
        <v>303</v>
      </c>
      <c r="N286" s="142"/>
    </row>
    <row r="287" ht="18" customHeight="1" spans="1:13">
      <c r="A287" s="41" t="s">
        <v>283</v>
      </c>
      <c r="B287" s="35">
        <f>(B283-B282)*0.25</f>
        <v>-221140.143844025</v>
      </c>
      <c r="C287" s="41"/>
      <c r="D287" s="4" t="s">
        <v>284</v>
      </c>
      <c r="E287" s="2" t="s">
        <v>285</v>
      </c>
      <c r="F287" s="40">
        <f>F16-F282</f>
        <v>462668.65926605</v>
      </c>
      <c r="H287" s="40">
        <f>F7-SUM(F19:F134)</f>
        <v>81163.326697248</v>
      </c>
      <c r="I287" s="40">
        <f>F8-SUM(F154:F200)+F160</f>
        <v>38488.298073394</v>
      </c>
      <c r="J287" s="16"/>
      <c r="K287" s="40">
        <f>F10-SUM(F201:F221)</f>
        <v>84093.386788991</v>
      </c>
      <c r="L287" s="40">
        <f>F11-SUM(F231:F238)</f>
        <v>165829.442568807</v>
      </c>
      <c r="M287" s="40">
        <f>F12-SUM(F240:F244)-F239-F160</f>
        <v>93094.205137615</v>
      </c>
    </row>
    <row r="288" ht="18" customHeight="1" spans="1:13">
      <c r="A288" s="41" t="s">
        <v>286</v>
      </c>
      <c r="B288" s="123" t="s">
        <v>287</v>
      </c>
      <c r="C288" s="41"/>
      <c r="D288" s="6" t="s">
        <v>288</v>
      </c>
      <c r="E288" s="7">
        <v>0.05</v>
      </c>
      <c r="F288" s="24">
        <f>(SUM(F7:F10)-SUM(F19:F221))*E288</f>
        <v>8970.65757798165</v>
      </c>
      <c r="H288" s="24">
        <f>H287*E288</f>
        <v>4058.1663348624</v>
      </c>
      <c r="I288" s="143">
        <f>I287*E288</f>
        <v>1924.4149036697</v>
      </c>
      <c r="J288" s="16"/>
      <c r="K288" s="144">
        <f>K287*E288</f>
        <v>4204.66933944955</v>
      </c>
      <c r="L288" s="144"/>
      <c r="M288" s="24"/>
    </row>
    <row r="289" ht="18" customHeight="1" spans="1:13">
      <c r="A289" s="41"/>
      <c r="B289" s="123"/>
      <c r="C289" s="41"/>
      <c r="D289" s="6" t="s">
        <v>288</v>
      </c>
      <c r="E289" s="7">
        <v>0.07</v>
      </c>
      <c r="F289" s="24">
        <f>(F11-SUM(F228:F238))*E289</f>
        <v>11608.0609798165</v>
      </c>
      <c r="H289" s="24"/>
      <c r="I289" s="143"/>
      <c r="J289" s="16"/>
      <c r="K289" s="144"/>
      <c r="L289" s="144">
        <f>L287*E289</f>
        <v>11608.0609798165</v>
      </c>
      <c r="M289" s="24">
        <f>M287*E289</f>
        <v>6516.59435963305</v>
      </c>
    </row>
    <row r="290" ht="18" customHeight="1" spans="1:17">
      <c r="A290" s="41" t="s">
        <v>289</v>
      </c>
      <c r="B290" s="123" t="s">
        <v>287</v>
      </c>
      <c r="C290" s="41"/>
      <c r="D290" s="6" t="s">
        <v>290</v>
      </c>
      <c r="E290" s="7">
        <v>0.03</v>
      </c>
      <c r="F290" s="24">
        <f>F287*E290</f>
        <v>13880.0597779815</v>
      </c>
      <c r="H290" s="24">
        <f>H287*E290</f>
        <v>2434.89980091744</v>
      </c>
      <c r="I290" s="143">
        <f>I287*E290</f>
        <v>1154.64894220182</v>
      </c>
      <c r="J290" s="16"/>
      <c r="K290" s="144">
        <f>K287*E290</f>
        <v>2522.80160366973</v>
      </c>
      <c r="L290" s="144">
        <f>L287*E290</f>
        <v>4974.88327706421</v>
      </c>
      <c r="M290" s="24">
        <f>M287*E290</f>
        <v>2792.82615412845</v>
      </c>
      <c r="Q290" s="19" t="s">
        <v>16</v>
      </c>
    </row>
    <row r="291" ht="18" customHeight="1" spans="1:13">
      <c r="A291" s="41"/>
      <c r="B291" s="24"/>
      <c r="C291" s="41"/>
      <c r="D291" s="6" t="s">
        <v>291</v>
      </c>
      <c r="E291" s="7">
        <v>0.02</v>
      </c>
      <c r="F291" s="24">
        <f>F287*E291</f>
        <v>9253.373185321</v>
      </c>
      <c r="H291" s="24">
        <f>H287*E291</f>
        <v>1623.26653394496</v>
      </c>
      <c r="I291" s="143">
        <f>I287*E291</f>
        <v>769.76596146788</v>
      </c>
      <c r="J291" s="16"/>
      <c r="K291" s="144">
        <f>K287*E291</f>
        <v>1681.86773577982</v>
      </c>
      <c r="L291" s="144">
        <f>L287*E291</f>
        <v>3316.58885137614</v>
      </c>
      <c r="M291" s="24">
        <f>M287*E291</f>
        <v>1861.8841027523</v>
      </c>
    </row>
    <row r="292" ht="18" customHeight="1" spans="1:13">
      <c r="A292" s="4" t="s">
        <v>292</v>
      </c>
      <c r="B292" s="38">
        <f>SUM(B287:B291)</f>
        <v>-221140.143844025</v>
      </c>
      <c r="C292" s="41"/>
      <c r="D292" s="9" t="s">
        <v>292</v>
      </c>
      <c r="E292" s="39"/>
      <c r="F292" s="40">
        <f>SUM(F287:F291)</f>
        <v>506380.810787151</v>
      </c>
      <c r="H292" s="40">
        <f>SUM(H287:H291)</f>
        <v>89279.6593669728</v>
      </c>
      <c r="I292" s="40">
        <f>SUM(I286:I291)</f>
        <v>42337.1278807334</v>
      </c>
      <c r="J292" s="16"/>
      <c r="K292" s="40">
        <f>SUM(K287:K291)</f>
        <v>92502.7254678902</v>
      </c>
      <c r="L292" s="40">
        <f>SUM(L287:L291)</f>
        <v>185728.975677064</v>
      </c>
      <c r="M292" s="40">
        <f>SUM(M287:M291)</f>
        <v>104265.509754129</v>
      </c>
    </row>
    <row r="293" ht="18" customHeight="1" spans="3:13">
      <c r="C293" s="14"/>
      <c r="D293" s="2" t="s">
        <v>23</v>
      </c>
      <c r="E293" s="39"/>
      <c r="F293" s="39">
        <f t="shared" ref="F293:M293" si="39">F292</f>
        <v>506380.810787151</v>
      </c>
      <c r="H293" s="39">
        <f t="shared" si="39"/>
        <v>89279.6593669728</v>
      </c>
      <c r="I293" s="58"/>
      <c r="J293" s="16"/>
      <c r="K293" s="39">
        <f t="shared" si="39"/>
        <v>92502.7254678902</v>
      </c>
      <c r="L293" s="39">
        <f t="shared" si="39"/>
        <v>185728.975677064</v>
      </c>
      <c r="M293" s="39">
        <f t="shared" si="39"/>
        <v>104265.509754129</v>
      </c>
    </row>
    <row r="294" ht="18" customHeight="1" spans="3:13">
      <c r="C294" s="14"/>
      <c r="D294" s="39" t="s">
        <v>283</v>
      </c>
      <c r="E294" s="39">
        <v>0.006</v>
      </c>
      <c r="F294" s="39">
        <f>SUM(B7:B8)*E294+SUM(G10:G11)*E294</f>
        <v>96251.064186055</v>
      </c>
      <c r="H294" s="39">
        <f>B7*E294</f>
        <v>30849.9674311927</v>
      </c>
      <c r="I294" s="58">
        <f>B8*E294</f>
        <v>16880.2678348624</v>
      </c>
      <c r="J294" s="16"/>
      <c r="K294" s="39">
        <f>G10*E294</f>
        <v>28443.27066</v>
      </c>
      <c r="L294" s="39">
        <f>G11*E294</f>
        <v>20077.55826</v>
      </c>
      <c r="M294" s="39">
        <f>G12*E294</f>
        <v>19461.04578</v>
      </c>
    </row>
    <row r="295" ht="18" customHeight="1" spans="3:13">
      <c r="C295" s="14"/>
      <c r="D295" s="124" t="s">
        <v>293</v>
      </c>
      <c r="E295" s="124">
        <v>0.25</v>
      </c>
      <c r="F295" s="124"/>
      <c r="G295" s="15" t="s">
        <v>294</v>
      </c>
      <c r="H295" s="124"/>
      <c r="I295" s="145"/>
      <c r="J295" s="16"/>
      <c r="K295" s="124"/>
      <c r="L295" s="124">
        <f>B284*0.25</f>
        <v>-221140.143844025</v>
      </c>
      <c r="M295" s="124">
        <f>B284*E295</f>
        <v>-221140.143844025</v>
      </c>
    </row>
    <row r="296" ht="18" customHeight="1" spans="3:13">
      <c r="C296" s="14"/>
      <c r="D296" s="2" t="s">
        <v>286</v>
      </c>
      <c r="E296" s="125" t="s">
        <v>304</v>
      </c>
      <c r="F296" s="8"/>
      <c r="G296" s="8"/>
      <c r="H296" s="24"/>
      <c r="I296" s="146"/>
      <c r="J296" s="147"/>
      <c r="K296" s="41"/>
      <c r="L296" s="41"/>
      <c r="M296" s="124">
        <v>0</v>
      </c>
    </row>
    <row r="297" ht="18" customHeight="1" spans="3:13">
      <c r="C297" s="14"/>
      <c r="D297" s="2" t="s">
        <v>289</v>
      </c>
      <c r="E297" s="125">
        <v>0.0006</v>
      </c>
      <c r="F297" s="8"/>
      <c r="G297" s="8"/>
      <c r="H297" s="24"/>
      <c r="I297" s="146"/>
      <c r="J297" s="147"/>
      <c r="K297" s="41"/>
      <c r="L297" s="41"/>
      <c r="M297" s="124">
        <f>B12*E297</f>
        <v>1785.4170440367</v>
      </c>
    </row>
    <row r="298" ht="18" customHeight="1" spans="3:13">
      <c r="C298" s="14"/>
      <c r="D298" s="9" t="s">
        <v>292</v>
      </c>
      <c r="E298" s="126"/>
      <c r="F298" s="8"/>
      <c r="G298" s="8"/>
      <c r="H298" s="24"/>
      <c r="I298" s="146"/>
      <c r="J298" s="147"/>
      <c r="K298" s="41"/>
      <c r="L298" s="41"/>
      <c r="M298" s="39">
        <f>SUM(M296:M297)</f>
        <v>1785.4170440367</v>
      </c>
    </row>
    <row r="299" spans="3:3">
      <c r="C299" s="14"/>
    </row>
    <row r="300" spans="3:3">
      <c r="C300" s="14"/>
    </row>
    <row r="301" spans="3:3">
      <c r="C301" s="14"/>
    </row>
    <row r="302" spans="3:3">
      <c r="C302" s="14"/>
    </row>
    <row r="303" spans="3:3">
      <c r="C303" s="14"/>
    </row>
    <row r="304" spans="3:12">
      <c r="C304" s="14"/>
      <c r="L304" s="19" t="s">
        <v>16</v>
      </c>
    </row>
    <row r="305" spans="3:3">
      <c r="C305" s="14"/>
    </row>
    <row r="306" spans="3:3">
      <c r="C306" s="14"/>
    </row>
    <row r="307" spans="3:3">
      <c r="C307" s="14"/>
    </row>
    <row r="308" spans="3:3">
      <c r="C308" s="14"/>
    </row>
    <row r="309" spans="3:3">
      <c r="C309" s="14"/>
    </row>
    <row r="310" spans="3:3">
      <c r="C310" s="14"/>
    </row>
    <row r="311" spans="3:3">
      <c r="C311" s="14"/>
    </row>
    <row r="312" spans="3:3">
      <c r="C312" s="14"/>
    </row>
    <row r="313" spans="3:3">
      <c r="C313" s="14"/>
    </row>
  </sheetData>
  <protectedRanges>
    <protectedRange sqref="K158:L159" name="区域1"/>
    <protectedRange sqref="I169" name="区域1_1"/>
    <protectedRange sqref="K169:L169" name="区域1_2"/>
    <protectedRange sqref="I227" name="区域1_3"/>
  </protectedRanges>
  <mergeCells count="9">
    <mergeCell ref="A1:J1"/>
    <mergeCell ref="H2:J2"/>
    <mergeCell ref="C5:D5"/>
    <mergeCell ref="E5:F5"/>
    <mergeCell ref="H5:J5"/>
    <mergeCell ref="A5:A6"/>
    <mergeCell ref="B5:B6"/>
    <mergeCell ref="G5:G6"/>
    <mergeCell ref="P232:P235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F27" sqref="F27"/>
    </sheetView>
  </sheetViews>
  <sheetFormatPr defaultColWidth="9" defaultRowHeight="13.5" outlineLevelRow="5" outlineLevelCol="2"/>
  <cols>
    <col min="3" max="3" width="25.875" customWidth="1"/>
  </cols>
  <sheetData>
    <row r="1" spans="1:3">
      <c r="A1" s="1" t="s">
        <v>277</v>
      </c>
      <c r="B1" s="2" t="s">
        <v>17</v>
      </c>
      <c r="C1" s="3" t="s">
        <v>305</v>
      </c>
    </row>
    <row r="2" spans="1:3">
      <c r="A2" s="4" t="s">
        <v>284</v>
      </c>
      <c r="B2" s="1" t="s">
        <v>285</v>
      </c>
      <c r="C2" s="5">
        <v>103968.078073394</v>
      </c>
    </row>
    <row r="3" spans="1:3">
      <c r="A3" s="6" t="s">
        <v>288</v>
      </c>
      <c r="B3" s="7">
        <v>0.05</v>
      </c>
      <c r="C3" s="8">
        <v>5198.40390366972</v>
      </c>
    </row>
    <row r="4" spans="1:3">
      <c r="A4" s="6" t="s">
        <v>290</v>
      </c>
      <c r="B4" s="7">
        <v>0.03</v>
      </c>
      <c r="C4" s="8">
        <v>3119.04234220183</v>
      </c>
    </row>
    <row r="5" spans="1:3">
      <c r="A5" s="6" t="s">
        <v>291</v>
      </c>
      <c r="B5" s="7">
        <v>0.02</v>
      </c>
      <c r="C5" s="8">
        <v>2079.36156146789</v>
      </c>
    </row>
    <row r="6" spans="1:3">
      <c r="A6" s="9" t="s">
        <v>292</v>
      </c>
      <c r="B6" s="4"/>
      <c r="C6" s="5">
        <v>114364.885880734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旧</vt:lpstr>
      <vt:lpstr>新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2021-06-16T02:15:52Z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1160E0DCE3E94CF584A51854ED709D0C</vt:lpwstr>
  </property>
</Properties>
</file>