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5" sheetId="5" r:id="rId3"/>
    <sheet name="Sheet4" sheetId="4" r:id="rId4"/>
    <sheet name="Sheet3" sheetId="3" r:id="rId5"/>
  </sheets>
  <calcPr calcId="191029" concurrentCalc="0"/>
  <pivotCaches>
    <pivotCache cacheId="0" r:id="rId6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cw05</author>
    <author>cw09</author>
  </authors>
  <commentList>
    <comment ref="G7" authorId="0">
      <text>
        <r>
          <rPr>
            <sz val="9"/>
            <rFont val="宋体"/>
            <charset val="134"/>
          </rPr>
          <t>cw05:
填写开票数字</t>
        </r>
      </text>
    </comment>
    <comment ref="D8" authorId="1">
      <text>
        <r>
          <rPr>
            <sz val="9"/>
            <rFont val="宋体"/>
            <charset val="134"/>
          </rPr>
          <t>cw09:
已经当地预缴</t>
        </r>
      </text>
    </comment>
    <comment ref="E14" authorId="0">
      <text>
        <r>
          <rPr>
            <sz val="9"/>
            <rFont val="宋体"/>
            <charset val="134"/>
          </rPr>
          <t>cw05:
填写专票税率</t>
        </r>
      </text>
    </comment>
    <comment ref="G14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G19" authorId="1">
      <text>
        <r>
          <rPr>
            <sz val="9"/>
            <rFont val="宋体"/>
            <charset val="134"/>
          </rPr>
          <t>cw09:
此票前期未予抵扣    6%</t>
        </r>
      </text>
    </comment>
    <comment ref="A49" authorId="0">
      <text>
        <r>
          <rPr>
            <sz val="9"/>
            <rFont val="宋体"/>
            <charset val="134"/>
          </rPr>
          <t>cw05:
当地未缴，本地代扣代缴，含税价*0.0003。</t>
        </r>
      </text>
    </comment>
    <comment ref="A50" authorId="0">
      <text>
        <r>
          <rPr>
            <sz val="9"/>
            <rFont val="宋体"/>
            <charset val="134"/>
          </rPr>
          <t>cw05:
当地未缴，本地代扣代缴，不含税销售额*0.0006</t>
        </r>
      </text>
    </comment>
    <comment ref="H52" authorId="1">
      <text>
        <r>
          <rPr>
            <sz val="9"/>
            <rFont val="宋体"/>
            <charset val="134"/>
          </rPr>
          <t>cw09:
已收款16726.95元  2020.1.20   王光如</t>
        </r>
      </text>
    </comment>
  </commentList>
</comments>
</file>

<file path=xl/comments2.xml><?xml version="1.0" encoding="utf-8"?>
<comments xmlns="http://schemas.openxmlformats.org/spreadsheetml/2006/main">
  <authors>
    <author>cw05</author>
    <author>cw09</author>
  </authors>
  <commentList>
    <comment ref="E2" authorId="0">
      <text>
        <r>
          <rPr>
            <sz val="9"/>
            <rFont val="宋体"/>
            <charset val="134"/>
          </rPr>
          <t>cw05:
填写专票税率</t>
        </r>
      </text>
    </comment>
    <comment ref="G2" authorId="0">
      <text>
        <r>
          <rPr>
            <sz val="9"/>
            <rFont val="宋体"/>
            <charset val="134"/>
          </rPr>
          <t>cw05:
填写成本发票含税金额</t>
        </r>
      </text>
    </comment>
    <comment ref="G7" authorId="1">
      <text>
        <r>
          <rPr>
            <sz val="9"/>
            <rFont val="宋体"/>
            <charset val="134"/>
          </rPr>
          <t>cw09:
此票前期未予抵扣    6%</t>
        </r>
      </text>
    </comment>
  </commentList>
</comments>
</file>

<file path=xl/sharedStrings.xml><?xml version="1.0" encoding="utf-8"?>
<sst xmlns="http://schemas.openxmlformats.org/spreadsheetml/2006/main" count="228" uniqueCount="92">
  <si>
    <t>2017年绩溪县村级道路畅通工程-上庄镇田工路II工程</t>
  </si>
  <si>
    <t>中标日期</t>
  </si>
  <si>
    <t>中标价</t>
  </si>
  <si>
    <t>负责人</t>
  </si>
  <si>
    <t>程震</t>
  </si>
  <si>
    <t>建设单位</t>
  </si>
  <si>
    <t>绩溪县上庄镇人民政府</t>
  </si>
  <si>
    <t>决算日期</t>
  </si>
  <si>
    <t>决算价</t>
  </si>
  <si>
    <t>销售开票：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</si>
  <si>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</si>
  <si>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</si>
  <si>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</si>
  <si>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</si>
  <si>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</si>
  <si>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</si>
  <si>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</si>
  <si>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</si>
  <si>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</si>
  <si>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</si>
  <si>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银行</t>
  </si>
  <si>
    <t>18-1-</t>
  </si>
  <si>
    <t>中行</t>
  </si>
  <si>
    <t>合计</t>
  </si>
  <si>
    <t>材料发票：</t>
  </si>
  <si>
    <t>认证日期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</si>
  <si>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</si>
  <si>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</si>
  <si>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</si>
  <si>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</si>
  <si>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</si>
  <si>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</si>
  <si>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</si>
  <si>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</si>
  <si>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</si>
  <si>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</si>
  <si>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</si>
  <si>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洪斌华</t>
  </si>
  <si>
    <t>人工</t>
  </si>
  <si>
    <t>专</t>
  </si>
  <si>
    <t>意外伤害保险</t>
  </si>
  <si>
    <t>17-12-</t>
  </si>
  <si>
    <t>徽行</t>
  </si>
  <si>
    <t>项目周转金</t>
  </si>
  <si>
    <t>山东诚志金属材料有限公司</t>
  </si>
  <si>
    <t>护栏板</t>
  </si>
  <si>
    <t>安徽涵海建筑工程有限公司</t>
  </si>
  <si>
    <t>水泥</t>
  </si>
  <si>
    <t>付工资</t>
  </si>
  <si>
    <t>缺票</t>
  </si>
  <si>
    <t>18-2-</t>
  </si>
  <si>
    <t>普</t>
  </si>
  <si>
    <t>绩溪县洪建国油漆店</t>
  </si>
  <si>
    <t>油漆</t>
  </si>
  <si>
    <t>绩溪县便利杂货店</t>
  </si>
  <si>
    <t>绩溪县胡石石材店</t>
  </si>
  <si>
    <t>大理石</t>
  </si>
  <si>
    <t>绩溪县秀苑塑料店</t>
  </si>
  <si>
    <t>扣</t>
  </si>
  <si>
    <t>手续费</t>
  </si>
  <si>
    <t>补扣城建税(按照7个点）</t>
  </si>
  <si>
    <t>王光如</t>
  </si>
  <si>
    <t>收合作人转过来预缴税金</t>
  </si>
  <si>
    <t>1次</t>
  </si>
  <si>
    <t>税金 （20.1月开票扣税）</t>
  </si>
  <si>
    <t>税金 （18.1月开票扣税）</t>
  </si>
  <si>
    <t>代办费</t>
  </si>
  <si>
    <t>管理费</t>
  </si>
  <si>
    <t>暂扣</t>
  </si>
  <si>
    <t>暂列金</t>
  </si>
  <si>
    <t>尚需提供成本</t>
  </si>
  <si>
    <t>可支付金额</t>
  </si>
  <si>
    <t>公司代缴税金：</t>
  </si>
  <si>
    <t>税种</t>
  </si>
  <si>
    <t>税额</t>
  </si>
  <si>
    <t>18.1月开票扣税</t>
  </si>
  <si>
    <t xml:space="preserve">20.1开票预缴税款 </t>
  </si>
  <si>
    <t>企业所得税</t>
  </si>
  <si>
    <t>增值税</t>
  </si>
  <si>
    <t>差额</t>
  </si>
  <si>
    <t>印花税</t>
  </si>
  <si>
    <t>已交</t>
  </si>
  <si>
    <t>城市维护建设税</t>
  </si>
  <si>
    <t>水利基金</t>
  </si>
  <si>
    <t>教育费附加</t>
  </si>
  <si>
    <t>地方教育费附加</t>
  </si>
  <si>
    <t>小计</t>
  </si>
  <si>
    <t>求和项:价税合计</t>
  </si>
  <si>
    <t>求和项:付款金额</t>
  </si>
  <si>
    <t xml:space="preserve"> 安徽涵海建筑工程有限公司</t>
  </si>
  <si>
    <t>(空白)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</si>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</sst>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0.00_ "/>
    <numFmt numFmtId="178" formatCode="#,##0.00_ "/>
    <numFmt numFmtId="179" formatCode="yyyy&quot;年&quot;m&quot;月&quot;;@"/>
    <numFmt numFmtId="180" formatCode="#,##0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9"/>
      <color rgb="FFFF00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rgb="FF333333"/>
      <name val="ˎ̥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/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/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 style="thin">
        <color rgb="FFABABAB"/>
      </right>
      <top style="thin">
        <color rgb="FFABABAB"/>
      </top>
      <bottom style="thin">
        <color rgb="FFABABAB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1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3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7" borderId="15" applyNumberFormat="0" applyAlignment="0" applyProtection="0">
      <alignment vertical="center"/>
    </xf>
    <xf numFmtId="0" fontId="16" fillId="8" borderId="16" applyNumberFormat="0" applyAlignment="0" applyProtection="0">
      <alignment vertical="center"/>
    </xf>
    <xf numFmtId="0" fontId="17" fillId="8" borderId="15" applyNumberFormat="0" applyAlignment="0" applyProtection="0">
      <alignment vertical="center"/>
    </xf>
    <xf numFmtId="0" fontId="18" fillId="9" borderId="17" applyNumberFormat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0" borderId="19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80">
    <xf numFmtId="0" fontId="0" fillId="0" borderId="0" xfId="0"/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center" vertical="center"/>
    </xf>
    <xf numFmtId="177" fontId="2" fillId="0" borderId="1" xfId="0" applyNumberFormat="1" applyFont="1" applyBorder="1" applyAlignment="1">
      <alignment vertical="center"/>
    </xf>
    <xf numFmtId="18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9" fontId="2" fillId="2" borderId="1" xfId="3" applyFont="1" applyFill="1" applyBorder="1" applyAlignment="1">
      <alignment horizontal="center" vertical="center"/>
    </xf>
    <xf numFmtId="177" fontId="2" fillId="3" borderId="1" xfId="0" applyNumberFormat="1" applyFont="1" applyFill="1" applyBorder="1" applyAlignment="1">
      <alignment vertical="center"/>
    </xf>
    <xf numFmtId="176" fontId="1" fillId="0" borderId="1" xfId="0" applyNumberFormat="1" applyFont="1" applyBorder="1" applyAlignment="1">
      <alignment horizontal="center" vertical="center"/>
    </xf>
    <xf numFmtId="179" fontId="2" fillId="4" borderId="1" xfId="0" applyNumberFormat="1" applyFont="1" applyFill="1" applyBorder="1" applyAlignment="1">
      <alignment horizontal="center" vertical="center"/>
    </xf>
    <xf numFmtId="177" fontId="2" fillId="4" borderId="1" xfId="0" applyNumberFormat="1" applyFont="1" applyFill="1" applyBorder="1" applyAlignment="1">
      <alignment vertical="center"/>
    </xf>
    <xf numFmtId="180" fontId="2" fillId="4" borderId="1" xfId="0" applyNumberFormat="1" applyFont="1" applyFill="1" applyBorder="1" applyAlignment="1">
      <alignment horizontal="center" vertical="center"/>
    </xf>
    <xf numFmtId="9" fontId="2" fillId="4" borderId="1" xfId="3" applyNumberFormat="1" applyFont="1" applyFill="1" applyBorder="1" applyAlignment="1">
      <alignment horizontal="center" vertical="center"/>
    </xf>
    <xf numFmtId="9" fontId="2" fillId="2" borderId="1" xfId="3" applyNumberFormat="1" applyFont="1" applyFill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178" fontId="1" fillId="0" borderId="1" xfId="0" applyNumberFormat="1" applyFont="1" applyBorder="1" applyAlignment="1">
      <alignment vertical="center"/>
    </xf>
    <xf numFmtId="176" fontId="1" fillId="0" borderId="0" xfId="0" applyNumberFormat="1" applyFont="1" applyBorder="1" applyAlignment="1">
      <alignment vertical="center"/>
    </xf>
    <xf numFmtId="177" fontId="1" fillId="0" borderId="0" xfId="0" applyNumberFormat="1" applyFont="1" applyBorder="1" applyAlignment="1">
      <alignment vertical="center"/>
    </xf>
    <xf numFmtId="178" fontId="1" fillId="0" borderId="0" xfId="0" applyNumberFormat="1" applyFont="1" applyBorder="1" applyAlignment="1">
      <alignment vertical="center"/>
    </xf>
    <xf numFmtId="10" fontId="1" fillId="0" borderId="0" xfId="0" applyNumberFormat="1" applyFont="1" applyBorder="1" applyAlignment="1">
      <alignment vertical="center"/>
    </xf>
    <xf numFmtId="176" fontId="5" fillId="0" borderId="8" xfId="0" applyNumberFormat="1" applyFont="1" applyBorder="1" applyAlignment="1">
      <alignment horizontal="center" vertical="center"/>
    </xf>
    <xf numFmtId="177" fontId="5" fillId="0" borderId="8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vertical="center"/>
    </xf>
    <xf numFmtId="14" fontId="6" fillId="0" borderId="0" xfId="0" applyNumberFormat="1" applyFont="1"/>
    <xf numFmtId="0" fontId="6" fillId="0" borderId="0" xfId="0" applyFont="1"/>
    <xf numFmtId="178" fontId="1" fillId="0" borderId="1" xfId="0" applyNumberFormat="1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176" fontId="1" fillId="0" borderId="9" xfId="0" applyNumberFormat="1" applyFont="1" applyBorder="1" applyAlignment="1">
      <alignment horizontal="left" vertical="center"/>
    </xf>
    <xf numFmtId="176" fontId="5" fillId="0" borderId="0" xfId="0" applyNumberFormat="1" applyFont="1" applyBorder="1" applyAlignment="1">
      <alignment horizontal="center" vertical="center"/>
    </xf>
    <xf numFmtId="9" fontId="1" fillId="0" borderId="1" xfId="3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vertical="center"/>
    </xf>
    <xf numFmtId="9" fontId="1" fillId="0" borderId="1" xfId="3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vertical="center"/>
    </xf>
    <xf numFmtId="177" fontId="3" fillId="4" borderId="1" xfId="0" applyNumberFormat="1" applyFont="1" applyFill="1" applyBorder="1" applyAlignment="1">
      <alignment vertical="center"/>
    </xf>
    <xf numFmtId="178" fontId="3" fillId="0" borderId="1" xfId="0" applyNumberFormat="1" applyFont="1" applyBorder="1" applyAlignment="1">
      <alignment vertical="center"/>
    </xf>
    <xf numFmtId="177" fontId="3" fillId="0" borderId="1" xfId="0" applyNumberFormat="1" applyFont="1" applyBorder="1" applyAlignment="1">
      <alignment vertical="center"/>
    </xf>
    <xf numFmtId="177" fontId="3" fillId="5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3" fillId="0" borderId="1" xfId="0" applyNumberFormat="1" applyFont="1" applyBorder="1" applyAlignment="1">
      <alignment vertical="center"/>
    </xf>
    <xf numFmtId="177" fontId="3" fillId="0" borderId="9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178" fontId="3" fillId="0" borderId="0" xfId="0" applyNumberFormat="1" applyFont="1" applyBorder="1" applyAlignment="1">
      <alignment vertical="center"/>
    </xf>
    <xf numFmtId="177" fontId="3" fillId="0" borderId="0" xfId="0" applyNumberFormat="1" applyFont="1" applyBorder="1" applyAlignment="1">
      <alignment vertical="center"/>
    </xf>
    <xf numFmtId="0" fontId="3" fillId="0" borderId="0" xfId="0" applyNumberFormat="1" applyFont="1" applyBorder="1" applyAlignment="1">
      <alignment vertical="center"/>
    </xf>
    <xf numFmtId="177" fontId="1" fillId="5" borderId="1" xfId="0" applyNumberFormat="1" applyFont="1" applyFill="1" applyBorder="1" applyAlignment="1">
      <alignment vertical="center"/>
    </xf>
    <xf numFmtId="177" fontId="1" fillId="0" borderId="1" xfId="0" applyNumberFormat="1" applyFont="1" applyBorder="1" applyAlignment="1">
      <alignment horizontal="right" vertical="center"/>
    </xf>
    <xf numFmtId="176" fontId="1" fillId="0" borderId="1" xfId="0" applyNumberFormat="1" applyFont="1" applyBorder="1" applyAlignment="1">
      <alignment horizontal="right" vertical="center"/>
    </xf>
    <xf numFmtId="177" fontId="1" fillId="0" borderId="10" xfId="0" applyNumberFormat="1" applyFont="1" applyBorder="1" applyAlignment="1">
      <alignment horizontal="left" vertical="center"/>
    </xf>
    <xf numFmtId="176" fontId="1" fillId="0" borderId="11" xfId="0" applyNumberFormat="1" applyFont="1" applyBorder="1" applyAlignment="1">
      <alignment horizontal="left" vertical="center"/>
    </xf>
    <xf numFmtId="177" fontId="5" fillId="0" borderId="0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vertical="center"/>
    </xf>
    <xf numFmtId="177" fontId="4" fillId="0" borderId="1" xfId="0" applyNumberFormat="1" applyFont="1" applyFill="1" applyBorder="1" applyAlignment="1">
      <alignment vertical="center"/>
    </xf>
    <xf numFmtId="177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Border="1" applyAlignment="1">
      <alignment vertical="center" wrapText="1"/>
    </xf>
    <xf numFmtId="0" fontId="1" fillId="0" borderId="11" xfId="0" applyFont="1" applyBorder="1" applyAlignment="1">
      <alignment vertical="center"/>
    </xf>
    <xf numFmtId="10" fontId="3" fillId="0" borderId="0" xfId="0" applyNumberFormat="1" applyFont="1" applyBorder="1" applyAlignment="1">
      <alignment vertical="center"/>
    </xf>
    <xf numFmtId="0" fontId="1" fillId="0" borderId="0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colors>
    <mruColors>
      <color rgb="00000000"/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9525</xdr:colOff>
      <xdr:row>54</xdr:row>
      <xdr:rowOff>9525</xdr:rowOff>
    </xdr:from>
    <xdr:to>
      <xdr:col>7</xdr:col>
      <xdr:colOff>1096010</xdr:colOff>
      <xdr:row>61</xdr:row>
      <xdr:rowOff>11430</xdr:rowOff>
    </xdr:to>
    <xdr:pic>
      <xdr:nvPicPr>
        <xdr:cNvPr id="2" name="图片 1" descr="D(SUARIRYSQD%9PV)S9_A4G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38825" y="12404090"/>
          <a:ext cx="1086485" cy="1259205"/>
        </a:xfrm>
        <a:prstGeom prst="rect">
          <a:avLst/>
        </a:prstGeom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219.5852430556" refreshedBy="Administrator" recordCount="14">
  <cacheSource type="worksheet">
    <worksheetSource ref="A1:O15" sheet="Sheet3"/>
  </cacheSource>
  <cacheFields count="15">
    <cacheField name="认证日期" numFmtId="179">
      <sharedItems containsString="0" containsBlank="1" containsNonDate="0" containsDate="1" minDate="2017-11-01T00:00:00" maxDate="2018-01-01T00:00:00" count="3">
        <m/>
        <d v="2017-11-01T00:00:00"/>
        <d v="2018-01-01T00:00:00"/>
      </sharedItems>
    </cacheField>
    <cacheField name="成本金额" numFmtId="177">
      <sharedItems containsSemiMixedTypes="0" containsString="0" containsNumber="1" minValue="0" maxValue="75760.68" count="5">
        <n v="0"/>
        <n v="52500"/>
        <n v="4875"/>
        <n v="75760.68"/>
        <n v="68905.98"/>
      </sharedItems>
    </cacheField>
    <cacheField name="份数" numFmtId="0">
      <sharedItems containsString="0" containsBlank="1" containsNonDate="0" count="1">
        <m/>
      </sharedItems>
    </cacheField>
    <cacheField name="类型" numFmtId="0">
      <sharedItems containsBlank="1" count="2">
        <m/>
        <s v="专"/>
      </sharedItems>
    </cacheField>
    <cacheField name="税率" numFmtId="9">
      <sharedItems containsString="0" containsBlank="1" containsNumber="1" minValue="0" maxValue="0.17" count="2">
        <m/>
        <n v="0.17"/>
      </sharedItems>
    </cacheField>
    <cacheField name="进项税额" numFmtId="177">
      <sharedItems containsSemiMixedTypes="0" containsString="0" containsNumber="1" minValue="0" maxValue="12879.32" count="3">
        <n v="0"/>
        <n v="12879.32"/>
        <n v="11714.02"/>
      </sharedItems>
    </cacheField>
    <cacheField name="价税合计" numFmtId="177">
      <sharedItems containsString="0" containsBlank="1" containsNumber="1" containsInteger="1" minValue="0" maxValue="88640" count="5">
        <m/>
        <n v="52500"/>
        <n v="4875"/>
        <n v="88640"/>
        <n v="80620"/>
      </sharedItems>
    </cacheField>
    <cacheField name="付款日期" numFmtId="176">
      <sharedItems containsBlank="1" count="4">
        <m/>
        <s v="17-12-"/>
        <s v="18-1-"/>
        <s v="18-2-"/>
      </sharedItems>
    </cacheField>
    <cacheField name="付款金额" numFmtId="177">
      <sharedItems containsString="0" containsBlank="1" containsNumber="1" minValue="-88640" maxValue="196000" count="8">
        <m/>
        <n v="-88640"/>
        <n v="88640"/>
        <n v="189229.54"/>
        <n v="80620"/>
        <n v="-80620"/>
        <n v="196000"/>
        <n v="14000"/>
      </sharedItems>
    </cacheField>
    <cacheField name="银行" numFmtId="0">
      <sharedItems containsBlank="1" count="3">
        <m/>
        <s v="徽行"/>
        <s v="中行"/>
      </sharedItems>
    </cacheField>
    <cacheField name="销货单位" numFmtId="0">
      <sharedItems containsBlank="1" count="5">
        <m/>
        <s v="洪斌华"/>
        <s v="山东诚志金属材料有限公司"/>
        <s v=" 安徽涵海建筑工程有限公司"/>
        <s v="程震"/>
      </sharedItems>
    </cacheField>
    <cacheField name="货物" numFmtId="0">
      <sharedItems containsBlank="1" count="7">
        <m/>
        <s v="人工"/>
        <s v="意外伤害保险"/>
        <s v="项目周转金"/>
        <s v="护栏板"/>
        <s v="水泥"/>
        <s v="付工资"/>
      </sharedItems>
    </cacheField>
    <cacheField name="合同" numFmtId="0">
      <sharedItems containsString="0" containsBlank="1" containsNonDate="0" count="1">
        <m/>
      </sharedItems>
    </cacheField>
    <cacheField name="发货单" numFmtId="0">
      <sharedItems containsString="0" containsBlank="1" containsNonDate="0" count="1">
        <m/>
      </sharedItems>
    </cacheField>
    <cacheField name="备注" numFmtId="0">
      <sharedItems containsString="0" containsBlank="1" containsNonDate="0" count="1"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4">
  <r>
    <x v="0"/>
    <x v="0"/>
    <x v="0"/>
    <x v="0"/>
    <x v="0"/>
    <x v="0"/>
    <x v="0"/>
    <x v="0"/>
    <x v="0"/>
    <x v="0"/>
    <x v="0"/>
    <x v="0"/>
    <x v="0"/>
    <x v="0"/>
    <x v="0"/>
  </r>
  <r>
    <x v="0"/>
    <x v="1"/>
    <x v="0"/>
    <x v="0"/>
    <x v="0"/>
    <x v="0"/>
    <x v="1"/>
    <x v="0"/>
    <x v="0"/>
    <x v="0"/>
    <x v="1"/>
    <x v="1"/>
    <x v="0"/>
    <x v="0"/>
    <x v="0"/>
  </r>
  <r>
    <x v="0"/>
    <x v="1"/>
    <x v="0"/>
    <x v="0"/>
    <x v="0"/>
    <x v="0"/>
    <x v="1"/>
    <x v="0"/>
    <x v="0"/>
    <x v="0"/>
    <x v="1"/>
    <x v="1"/>
    <x v="0"/>
    <x v="0"/>
    <x v="0"/>
  </r>
  <r>
    <x v="0"/>
    <x v="1"/>
    <x v="0"/>
    <x v="0"/>
    <x v="0"/>
    <x v="0"/>
    <x v="1"/>
    <x v="0"/>
    <x v="0"/>
    <x v="0"/>
    <x v="1"/>
    <x v="1"/>
    <x v="0"/>
    <x v="0"/>
    <x v="0"/>
  </r>
  <r>
    <x v="0"/>
    <x v="1"/>
    <x v="0"/>
    <x v="0"/>
    <x v="0"/>
    <x v="0"/>
    <x v="1"/>
    <x v="0"/>
    <x v="0"/>
    <x v="0"/>
    <x v="1"/>
    <x v="1"/>
    <x v="0"/>
    <x v="0"/>
    <x v="0"/>
  </r>
  <r>
    <x v="1"/>
    <x v="2"/>
    <x v="0"/>
    <x v="1"/>
    <x v="0"/>
    <x v="0"/>
    <x v="2"/>
    <x v="0"/>
    <x v="0"/>
    <x v="0"/>
    <x v="1"/>
    <x v="2"/>
    <x v="0"/>
    <x v="0"/>
    <x v="0"/>
  </r>
  <r>
    <x v="0"/>
    <x v="0"/>
    <x v="0"/>
    <x v="0"/>
    <x v="0"/>
    <x v="0"/>
    <x v="0"/>
    <x v="1"/>
    <x v="1"/>
    <x v="1"/>
    <x v="1"/>
    <x v="3"/>
    <x v="0"/>
    <x v="0"/>
    <x v="0"/>
  </r>
  <r>
    <x v="0"/>
    <x v="0"/>
    <x v="0"/>
    <x v="0"/>
    <x v="0"/>
    <x v="0"/>
    <x v="0"/>
    <x v="1"/>
    <x v="2"/>
    <x v="2"/>
    <x v="2"/>
    <x v="0"/>
    <x v="0"/>
    <x v="0"/>
    <x v="0"/>
  </r>
  <r>
    <x v="0"/>
    <x v="0"/>
    <x v="0"/>
    <x v="0"/>
    <x v="0"/>
    <x v="0"/>
    <x v="0"/>
    <x v="2"/>
    <x v="3"/>
    <x v="1"/>
    <x v="1"/>
    <x v="3"/>
    <x v="0"/>
    <x v="0"/>
    <x v="0"/>
  </r>
  <r>
    <x v="2"/>
    <x v="3"/>
    <x v="0"/>
    <x v="1"/>
    <x v="1"/>
    <x v="1"/>
    <x v="3"/>
    <x v="0"/>
    <x v="0"/>
    <x v="0"/>
    <x v="2"/>
    <x v="4"/>
    <x v="0"/>
    <x v="0"/>
    <x v="0"/>
  </r>
  <r>
    <x v="2"/>
    <x v="4"/>
    <x v="0"/>
    <x v="1"/>
    <x v="1"/>
    <x v="2"/>
    <x v="4"/>
    <x v="2"/>
    <x v="4"/>
    <x v="2"/>
    <x v="3"/>
    <x v="5"/>
    <x v="0"/>
    <x v="0"/>
    <x v="0"/>
  </r>
  <r>
    <x v="0"/>
    <x v="0"/>
    <x v="0"/>
    <x v="0"/>
    <x v="0"/>
    <x v="0"/>
    <x v="0"/>
    <x v="2"/>
    <x v="5"/>
    <x v="1"/>
    <x v="1"/>
    <x v="3"/>
    <x v="0"/>
    <x v="0"/>
    <x v="0"/>
  </r>
  <r>
    <x v="0"/>
    <x v="0"/>
    <x v="0"/>
    <x v="0"/>
    <x v="0"/>
    <x v="0"/>
    <x v="0"/>
    <x v="2"/>
    <x v="6"/>
    <x v="1"/>
    <x v="4"/>
    <x v="6"/>
    <x v="0"/>
    <x v="0"/>
    <x v="0"/>
  </r>
  <r>
    <x v="0"/>
    <x v="0"/>
    <x v="0"/>
    <x v="0"/>
    <x v="0"/>
    <x v="0"/>
    <x v="0"/>
    <x v="3"/>
    <x v="7"/>
    <x v="1"/>
    <x v="4"/>
    <x v="6"/>
    <x v="0"/>
    <x v="0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3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:C9" firstHeaderRow="0" firstDataRow="1" firstDataCol="1"/>
  <pivotFields count="15">
    <pivotField compact="0" showAll="0">
      <items count="4">
        <item x="1"/>
        <item x="2"/>
        <item x="0"/>
        <item t="default"/>
      </items>
    </pivotField>
    <pivotField compact="0" numFmtId="177" showAll="0"/>
    <pivotField compact="0" showAll="0"/>
    <pivotField compact="0" showAll="0"/>
    <pivotField compact="0" showAll="0"/>
    <pivotField compact="0" numFmtId="177" showAll="0"/>
    <pivotField dataField="1" compact="0" showAll="0">
      <items count="6">
        <item x="2"/>
        <item x="1"/>
        <item x="4"/>
        <item x="3"/>
        <item x="0"/>
        <item t="default"/>
      </items>
    </pivotField>
    <pivotField compact="0" showAll="0"/>
    <pivotField dataField="1" compact="0" showAll="0">
      <items count="9">
        <item x="1"/>
        <item x="5"/>
        <item x="7"/>
        <item x="4"/>
        <item x="2"/>
        <item x="3"/>
        <item x="6"/>
        <item x="0"/>
        <item t="default"/>
      </items>
    </pivotField>
    <pivotField compact="0" showAll="0"/>
    <pivotField axis="axisRow" compact="0" showAll="0">
      <items count="6">
        <item x="3"/>
        <item x="4"/>
        <item x="1"/>
        <item x="2"/>
        <item x="0"/>
        <item t="default"/>
      </items>
    </pivotField>
    <pivotField compact="0" showAll="0"/>
    <pivotField compact="0" showAll="0"/>
    <pivotField compact="0" showAll="0"/>
    <pivotField compact="0" showAll="0"/>
  </pivotFields>
  <rowFields count="1">
    <field x="10"/>
  </rowFields>
  <rowItems count="6">
    <i>
      <x/>
    </i>
    <i>
      <x v="1"/>
    </i>
    <i>
      <x v="2"/>
    </i>
    <i>
      <x v="3"/>
    </i>
    <i>
      <x v="4"/>
    </i>
    <i t="grand">
      <x/>
    </i>
  </rowItems>
  <colFields count="1">
    <field x="-2"/>
  </colFields>
  <colItems count="2">
    <i>
      <x/>
    </i>
    <i i="1">
      <x v="1"/>
    </i>
  </colItems>
  <dataFields count="2">
    <dataField name="求和项:价税合计" fld="6" baseField="0" baseItem="0"/>
    <dataField name="求和项:付款金额" fld="8" baseField="0" baseItem="0"/>
  </dataFields>
  <pivotTableStyleInfo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73"/>
  <sheetViews>
    <sheetView tabSelected="1" topLeftCell="A23" workbookViewId="0">
      <selection activeCell="K50" sqref="K50"/>
    </sheetView>
  </sheetViews>
  <sheetFormatPr defaultColWidth="9" defaultRowHeight="11.25"/>
  <cols>
    <col min="1" max="1" width="10.75" style="36" customWidth="1"/>
    <col min="2" max="2" width="13.125" style="37" customWidth="1"/>
    <col min="3" max="3" width="6" style="38" customWidth="1"/>
    <col min="4" max="4" width="13.375" style="38" customWidth="1"/>
    <col min="5" max="5" width="6" style="38" customWidth="1"/>
    <col min="6" max="6" width="13.125" style="37" customWidth="1"/>
    <col min="7" max="7" width="14.125" style="37" customWidth="1"/>
    <col min="8" max="8" width="17.5" style="38" customWidth="1"/>
    <col min="9" max="9" width="13.875" style="37" customWidth="1"/>
    <col min="10" max="10" width="6.125" style="39" customWidth="1"/>
    <col min="11" max="11" width="31.5" style="1" customWidth="1"/>
    <col min="12" max="12" width="12.75" style="1" customWidth="1"/>
    <col min="13" max="13" width="6" style="1" customWidth="1"/>
    <col min="14" max="14" width="5.625" style="1" customWidth="1"/>
    <col min="15" max="16384" width="9" style="1"/>
  </cols>
  <sheetData>
    <row r="1" ht="21.95" customHeight="1" spans="1:12">
      <c r="A1" s="40" t="s">
        <v>0</v>
      </c>
      <c r="B1" s="40"/>
      <c r="C1" s="40"/>
      <c r="D1" s="40"/>
      <c r="E1" s="40"/>
      <c r="F1" s="41"/>
      <c r="G1" s="41"/>
      <c r="H1" s="40"/>
      <c r="I1" s="41"/>
      <c r="J1" s="40"/>
      <c r="K1" s="48"/>
      <c r="L1" s="48"/>
    </row>
    <row r="2" ht="18" customHeight="1" spans="1:12">
      <c r="A2" s="42" t="s">
        <v>1</v>
      </c>
      <c r="B2" s="43">
        <v>42853</v>
      </c>
      <c r="C2" s="35" t="s">
        <v>2</v>
      </c>
      <c r="D2" s="44">
        <v>639750.15</v>
      </c>
      <c r="E2" s="45" t="s">
        <v>3</v>
      </c>
      <c r="F2" s="35" t="s">
        <v>4</v>
      </c>
      <c r="G2" s="46" t="s">
        <v>5</v>
      </c>
      <c r="H2" s="47" t="s">
        <v>6</v>
      </c>
      <c r="I2" s="67"/>
      <c r="J2" s="68"/>
      <c r="K2" s="48"/>
      <c r="L2" s="48"/>
    </row>
    <row r="3" ht="18" customHeight="1" spans="1:12">
      <c r="A3" s="42" t="s">
        <v>7</v>
      </c>
      <c r="B3" s="7"/>
      <c r="C3" s="35" t="s">
        <v>8</v>
      </c>
      <c r="D3" s="35"/>
      <c r="H3" s="48"/>
      <c r="I3" s="69"/>
      <c r="J3" s="48"/>
      <c r="K3" s="48"/>
      <c r="L3" s="48"/>
    </row>
    <row r="4" ht="18" customHeight="1" spans="1:12">
      <c r="A4" s="36" t="s">
        <v>9</v>
      </c>
      <c r="H4" s="48"/>
      <c r="I4" s="69"/>
      <c r="J4" s="48"/>
      <c r="K4" s="48"/>
      <c r="L4" s="48"/>
    </row>
    <row r="5" ht="18" customHeight="1" spans="1:10">
      <c r="A5" s="5" t="s">
        <v>10</v>
      </c>
      <c r="B5" s="4" t="s">
        <v>11</v>
      </c>
      <c r="C5" s="5" t="s">
        <v>12</v>
      </c>
      <c r="D5" s="5"/>
      <c r="E5" s="5" t="s">
        <v>13</v>
      </c>
      <c r="F5" s="4"/>
      <c r="G5" s="4" t="s">
        <v>14</v>
      </c>
      <c r="H5" s="19" t="s">
        <v>15</v>
      </c>
      <c r="I5" s="4"/>
      <c r="J5" s="19"/>
    </row>
    <row r="6" ht="18" customHeight="1" spans="1:10">
      <c r="A6" s="5"/>
      <c r="B6" s="4"/>
      <c r="C6" s="5" t="s">
        <v>16</v>
      </c>
      <c r="D6" s="5" t="s">
        <v>17</v>
      </c>
      <c r="E6" s="5" t="s">
        <v>16</v>
      </c>
      <c r="F6" s="4" t="s">
        <v>17</v>
      </c>
      <c r="G6" s="4"/>
      <c r="H6" s="19" t="s">
        <v>18</v>
      </c>
      <c r="I6" s="4" t="s">
        <v>19</v>
      </c>
      <c r="J6" s="19" t="s">
        <v>20</v>
      </c>
    </row>
    <row r="7" ht="18" customHeight="1" spans="1:10">
      <c r="A7" s="12"/>
      <c r="B7" s="20">
        <f>G7/(1+C7+E7)</f>
        <v>0</v>
      </c>
      <c r="C7" s="49">
        <v>0.02</v>
      </c>
      <c r="D7" s="50">
        <f>G7/(1+E7+C7)*C7</f>
        <v>0</v>
      </c>
      <c r="E7" s="49"/>
      <c r="F7" s="20">
        <f>G7/(1+C7+E7)*E7</f>
        <v>0</v>
      </c>
      <c r="G7" s="11"/>
      <c r="H7" s="12"/>
      <c r="I7" s="20"/>
      <c r="J7" s="21"/>
    </row>
    <row r="8" ht="18" customHeight="1" spans="1:10">
      <c r="A8" s="12">
        <v>43110</v>
      </c>
      <c r="B8" s="20">
        <f t="shared" ref="B8:B10" si="0">G8/(1+C8+E8)</f>
        <v>405405.405405405</v>
      </c>
      <c r="C8" s="49">
        <v>0.02</v>
      </c>
      <c r="D8" s="50">
        <f t="shared" ref="D8:D10" si="1">G8/(1+E8+C8)*C8</f>
        <v>8108.10810810811</v>
      </c>
      <c r="E8" s="51">
        <v>0.09</v>
      </c>
      <c r="F8" s="20">
        <f t="shared" ref="F8:F10" si="2">G8/(1+C8+E8)*E8</f>
        <v>36486.4864864865</v>
      </c>
      <c r="G8" s="11">
        <v>450000</v>
      </c>
      <c r="H8" s="12" t="s">
        <v>21</v>
      </c>
      <c r="I8" s="20">
        <v>450000</v>
      </c>
      <c r="J8" s="21" t="s">
        <v>22</v>
      </c>
    </row>
    <row r="9" ht="18" customHeight="1" spans="1:10">
      <c r="A9" s="12">
        <v>43852</v>
      </c>
      <c r="B9" s="20">
        <f t="shared" si="0"/>
        <v>217233.073394495</v>
      </c>
      <c r="C9" s="49">
        <v>0.02</v>
      </c>
      <c r="D9" s="50">
        <f t="shared" si="1"/>
        <v>4344.66146788991</v>
      </c>
      <c r="E9" s="51">
        <v>0.07</v>
      </c>
      <c r="F9" s="20">
        <f t="shared" si="2"/>
        <v>15206.3151376147</v>
      </c>
      <c r="G9" s="11">
        <v>236784.05</v>
      </c>
      <c r="H9" s="12">
        <v>44943</v>
      </c>
      <c r="I9" s="20">
        <v>20000</v>
      </c>
      <c r="J9" s="21" t="s">
        <v>22</v>
      </c>
    </row>
    <row r="10" ht="18" customHeight="1" spans="1:10">
      <c r="A10" s="12"/>
      <c r="B10" s="20">
        <f t="shared" si="0"/>
        <v>0</v>
      </c>
      <c r="C10" s="49">
        <v>0.02</v>
      </c>
      <c r="D10" s="50">
        <f t="shared" si="1"/>
        <v>0</v>
      </c>
      <c r="E10" s="49"/>
      <c r="F10" s="20">
        <f t="shared" si="2"/>
        <v>0</v>
      </c>
      <c r="G10" s="11"/>
      <c r="H10" s="12"/>
      <c r="I10" s="70"/>
      <c r="J10" s="21"/>
    </row>
    <row r="11" ht="18" customHeight="1" spans="1:12">
      <c r="A11" s="52" t="s">
        <v>23</v>
      </c>
      <c r="B11" s="53">
        <f>SUM(B7:B10)</f>
        <v>622638.478799901</v>
      </c>
      <c r="C11" s="54"/>
      <c r="D11" s="55">
        <f t="shared" ref="D11:G11" si="3">SUM(D7:D10)</f>
        <v>12452.769575998</v>
      </c>
      <c r="E11" s="54"/>
      <c r="F11" s="56">
        <f t="shared" si="3"/>
        <v>51692.8016241012</v>
      </c>
      <c r="G11" s="55">
        <f t="shared" si="3"/>
        <v>686784.05</v>
      </c>
      <c r="H11" s="57"/>
      <c r="I11" s="55">
        <f>SUM(I7:I10)</f>
        <v>470000</v>
      </c>
      <c r="J11" s="57"/>
      <c r="L11" s="1">
        <v>216784.05</v>
      </c>
    </row>
    <row r="12" ht="18" customHeight="1" spans="1:12">
      <c r="A12" s="36" t="s">
        <v>24</v>
      </c>
      <c r="J12" s="38"/>
      <c r="K12" s="38"/>
      <c r="L12" s="39"/>
    </row>
    <row r="13" ht="18" customHeight="1" spans="1:15">
      <c r="A13" s="3" t="s">
        <v>25</v>
      </c>
      <c r="B13" s="4" t="s">
        <v>26</v>
      </c>
      <c r="C13" s="5" t="s">
        <v>27</v>
      </c>
      <c r="D13" s="5" t="s">
        <v>28</v>
      </c>
      <c r="E13" s="5" t="s">
        <v>16</v>
      </c>
      <c r="F13" s="4" t="s">
        <v>29</v>
      </c>
      <c r="G13" s="4" t="s">
        <v>14</v>
      </c>
      <c r="H13" s="5" t="s">
        <v>30</v>
      </c>
      <c r="I13" s="4" t="s">
        <v>31</v>
      </c>
      <c r="J13" s="5" t="s">
        <v>20</v>
      </c>
      <c r="K13" s="18" t="s">
        <v>32</v>
      </c>
      <c r="L13" s="19" t="s">
        <v>33</v>
      </c>
      <c r="M13" s="19" t="s">
        <v>34</v>
      </c>
      <c r="N13" s="19" t="s">
        <v>35</v>
      </c>
      <c r="O13" s="19" t="s">
        <v>36</v>
      </c>
    </row>
    <row r="14" s="2" customFormat="1" ht="18" customHeight="1" spans="1:15">
      <c r="A14" s="6"/>
      <c r="B14" s="7">
        <f t="shared" ref="B14:B32" si="4">ROUND(G14/(1+E14),2)</f>
        <v>0</v>
      </c>
      <c r="C14" s="8"/>
      <c r="D14" s="9"/>
      <c r="E14" s="10"/>
      <c r="F14" s="7">
        <f t="shared" ref="F14:F38" si="5">ROUND(G14/(1+E14)*E14,2)</f>
        <v>0</v>
      </c>
      <c r="G14" s="11"/>
      <c r="H14" s="12"/>
      <c r="I14" s="20"/>
      <c r="J14" s="21"/>
      <c r="K14" s="22"/>
      <c r="L14" s="23"/>
      <c r="M14" s="24"/>
      <c r="N14" s="24"/>
      <c r="O14" s="23"/>
    </row>
    <row r="15" s="2" customFormat="1" ht="18" customHeight="1" spans="1:15">
      <c r="A15" s="6"/>
      <c r="B15" s="7">
        <f t="shared" si="4"/>
        <v>52500</v>
      </c>
      <c r="C15" s="8"/>
      <c r="D15" s="9"/>
      <c r="E15" s="10"/>
      <c r="F15" s="7">
        <f t="shared" si="5"/>
        <v>0</v>
      </c>
      <c r="G15" s="11">
        <v>52500</v>
      </c>
      <c r="H15" s="12"/>
      <c r="I15" s="20"/>
      <c r="J15" s="21"/>
      <c r="K15" s="25" t="s">
        <v>37</v>
      </c>
      <c r="L15" s="23" t="s">
        <v>38</v>
      </c>
      <c r="M15" s="24"/>
      <c r="N15" s="24"/>
      <c r="O15" s="23"/>
    </row>
    <row r="16" s="2" customFormat="1" ht="18" customHeight="1" spans="1:15">
      <c r="A16" s="6"/>
      <c r="B16" s="7">
        <f t="shared" si="4"/>
        <v>52500</v>
      </c>
      <c r="C16" s="8"/>
      <c r="D16" s="9"/>
      <c r="E16" s="10"/>
      <c r="F16" s="7">
        <f t="shared" si="5"/>
        <v>0</v>
      </c>
      <c r="G16" s="11">
        <v>52500</v>
      </c>
      <c r="H16" s="12"/>
      <c r="I16" s="20"/>
      <c r="J16" s="21"/>
      <c r="K16" s="25" t="s">
        <v>37</v>
      </c>
      <c r="L16" s="23" t="s">
        <v>38</v>
      </c>
      <c r="M16" s="24"/>
      <c r="N16" s="24"/>
      <c r="O16" s="23"/>
    </row>
    <row r="17" s="2" customFormat="1" ht="18" customHeight="1" spans="1:15">
      <c r="A17" s="6"/>
      <c r="B17" s="7">
        <f t="shared" si="4"/>
        <v>52500</v>
      </c>
      <c r="C17" s="8"/>
      <c r="D17" s="9"/>
      <c r="E17" s="10"/>
      <c r="F17" s="7">
        <f t="shared" si="5"/>
        <v>0</v>
      </c>
      <c r="G17" s="11">
        <v>52500</v>
      </c>
      <c r="H17" s="12"/>
      <c r="I17" s="20"/>
      <c r="J17" s="21"/>
      <c r="K17" s="25" t="s">
        <v>37</v>
      </c>
      <c r="L17" s="23" t="s">
        <v>38</v>
      </c>
      <c r="M17" s="24"/>
      <c r="N17" s="24"/>
      <c r="O17" s="23"/>
    </row>
    <row r="18" s="2" customFormat="1" ht="18" customHeight="1" spans="1:15">
      <c r="A18" s="6"/>
      <c r="B18" s="7">
        <f t="shared" si="4"/>
        <v>52500</v>
      </c>
      <c r="C18" s="8"/>
      <c r="D18" s="9"/>
      <c r="E18" s="10"/>
      <c r="F18" s="7">
        <f t="shared" si="5"/>
        <v>0</v>
      </c>
      <c r="G18" s="11">
        <v>52500</v>
      </c>
      <c r="H18" s="12"/>
      <c r="I18" s="20"/>
      <c r="J18" s="21"/>
      <c r="K18" s="25" t="s">
        <v>37</v>
      </c>
      <c r="L18" s="23" t="s">
        <v>38</v>
      </c>
      <c r="M18" s="24"/>
      <c r="N18" s="24"/>
      <c r="O18" s="23"/>
    </row>
    <row r="19" s="2" customFormat="1" ht="18" customHeight="1" spans="1:15">
      <c r="A19" s="13">
        <v>43040</v>
      </c>
      <c r="B19" s="14">
        <f t="shared" si="4"/>
        <v>4875</v>
      </c>
      <c r="C19" s="15"/>
      <c r="D19" s="15" t="s">
        <v>39</v>
      </c>
      <c r="E19" s="16"/>
      <c r="F19" s="14">
        <f t="shared" si="5"/>
        <v>0</v>
      </c>
      <c r="G19" s="14">
        <v>4875</v>
      </c>
      <c r="H19" s="12"/>
      <c r="I19" s="20"/>
      <c r="J19" s="26"/>
      <c r="K19" s="25" t="s">
        <v>37</v>
      </c>
      <c r="L19" s="23" t="s">
        <v>40</v>
      </c>
      <c r="M19" s="24"/>
      <c r="N19" s="24"/>
      <c r="O19" s="23"/>
    </row>
    <row r="20" s="2" customFormat="1" ht="18" customHeight="1" spans="1:15">
      <c r="A20" s="6"/>
      <c r="B20" s="7">
        <f t="shared" si="4"/>
        <v>0</v>
      </c>
      <c r="C20" s="8"/>
      <c r="D20" s="9"/>
      <c r="E20" s="17"/>
      <c r="F20" s="7">
        <f t="shared" si="5"/>
        <v>0</v>
      </c>
      <c r="G20" s="11"/>
      <c r="H20" s="12" t="s">
        <v>41</v>
      </c>
      <c r="I20" s="20">
        <v>-88640</v>
      </c>
      <c r="J20" s="26" t="s">
        <v>42</v>
      </c>
      <c r="K20" s="25" t="s">
        <v>37</v>
      </c>
      <c r="L20" s="23" t="s">
        <v>43</v>
      </c>
      <c r="M20" s="24"/>
      <c r="N20" s="24"/>
      <c r="O20" s="23"/>
    </row>
    <row r="21" s="2" customFormat="1" ht="18" customHeight="1" spans="1:15">
      <c r="A21" s="6"/>
      <c r="B21" s="7">
        <f t="shared" si="4"/>
        <v>0</v>
      </c>
      <c r="C21" s="8"/>
      <c r="D21" s="9"/>
      <c r="E21" s="10"/>
      <c r="F21" s="7">
        <f t="shared" si="5"/>
        <v>0</v>
      </c>
      <c r="G21" s="11"/>
      <c r="H21" s="12" t="s">
        <v>41</v>
      </c>
      <c r="I21" s="20">
        <v>88640</v>
      </c>
      <c r="J21" s="26" t="s">
        <v>22</v>
      </c>
      <c r="K21" s="25" t="s">
        <v>44</v>
      </c>
      <c r="L21" s="23"/>
      <c r="M21" s="24"/>
      <c r="N21" s="24"/>
      <c r="O21" s="23"/>
    </row>
    <row r="22" s="2" customFormat="1" ht="18" customHeight="1" spans="1:15">
      <c r="A22" s="6"/>
      <c r="B22" s="7">
        <f t="shared" si="4"/>
        <v>0</v>
      </c>
      <c r="C22" s="8"/>
      <c r="D22" s="9"/>
      <c r="E22" s="10"/>
      <c r="F22" s="7">
        <f t="shared" si="5"/>
        <v>0</v>
      </c>
      <c r="G22" s="11"/>
      <c r="H22" s="12" t="s">
        <v>21</v>
      </c>
      <c r="I22" s="20">
        <v>189229.54</v>
      </c>
      <c r="J22" s="26" t="s">
        <v>42</v>
      </c>
      <c r="K22" s="25" t="s">
        <v>37</v>
      </c>
      <c r="L22" s="23" t="s">
        <v>43</v>
      </c>
      <c r="M22" s="24"/>
      <c r="N22" s="24"/>
      <c r="O22" s="23"/>
    </row>
    <row r="23" s="2" customFormat="1" ht="18" customHeight="1" spans="1:15">
      <c r="A23" s="6">
        <v>43101</v>
      </c>
      <c r="B23" s="7">
        <f t="shared" si="4"/>
        <v>75760.68</v>
      </c>
      <c r="D23" s="8" t="s">
        <v>39</v>
      </c>
      <c r="E23" s="17">
        <v>0.17</v>
      </c>
      <c r="F23" s="7">
        <f t="shared" si="5"/>
        <v>12879.32</v>
      </c>
      <c r="G23" s="11">
        <v>88640</v>
      </c>
      <c r="H23" s="12"/>
      <c r="I23" s="20"/>
      <c r="J23" s="26"/>
      <c r="K23" s="25" t="s">
        <v>44</v>
      </c>
      <c r="L23" s="23" t="s">
        <v>45</v>
      </c>
      <c r="M23" s="24"/>
      <c r="N23" s="24"/>
      <c r="O23" s="23"/>
    </row>
    <row r="24" s="2" customFormat="1" ht="18" customHeight="1" spans="1:18">
      <c r="A24" s="6">
        <v>43101</v>
      </c>
      <c r="B24" s="7">
        <f t="shared" si="4"/>
        <v>68905.98</v>
      </c>
      <c r="C24" s="8"/>
      <c r="D24" s="8" t="s">
        <v>39</v>
      </c>
      <c r="E24" s="17">
        <v>0.17</v>
      </c>
      <c r="F24" s="7">
        <f t="shared" si="5"/>
        <v>11714.02</v>
      </c>
      <c r="G24" s="11">
        <v>80620</v>
      </c>
      <c r="H24" s="12" t="s">
        <v>21</v>
      </c>
      <c r="I24" s="20">
        <v>80620</v>
      </c>
      <c r="J24" s="26" t="s">
        <v>22</v>
      </c>
      <c r="K24" s="25" t="s">
        <v>46</v>
      </c>
      <c r="L24" s="23" t="s">
        <v>47</v>
      </c>
      <c r="M24" s="24"/>
      <c r="N24" s="24"/>
      <c r="O24" s="23"/>
      <c r="R24" s="2">
        <f>I22-Q25</f>
        <v>19969.54</v>
      </c>
    </row>
    <row r="25" s="2" customFormat="1" ht="18" customHeight="1" spans="1:18">
      <c r="A25" s="6"/>
      <c r="B25" s="7">
        <f t="shared" si="4"/>
        <v>0</v>
      </c>
      <c r="C25" s="8"/>
      <c r="D25" s="9"/>
      <c r="E25" s="10"/>
      <c r="F25" s="7">
        <f t="shared" si="5"/>
        <v>0</v>
      </c>
      <c r="G25" s="11"/>
      <c r="H25" s="12" t="s">
        <v>21</v>
      </c>
      <c r="I25" s="20">
        <v>-80620</v>
      </c>
      <c r="J25" s="26" t="s">
        <v>42</v>
      </c>
      <c r="K25" s="25" t="s">
        <v>37</v>
      </c>
      <c r="L25" s="23" t="s">
        <v>43</v>
      </c>
      <c r="M25" s="24"/>
      <c r="N25" s="24"/>
      <c r="O25" s="23"/>
      <c r="Q25" s="2">
        <f>I21+I24</f>
        <v>169260</v>
      </c>
      <c r="R25" s="2">
        <f>R24-G19</f>
        <v>15094.54</v>
      </c>
    </row>
    <row r="26" s="2" customFormat="1" ht="18" customHeight="1" spans="1:17">
      <c r="A26" s="6"/>
      <c r="B26" s="7">
        <f t="shared" si="4"/>
        <v>0</v>
      </c>
      <c r="C26" s="8"/>
      <c r="D26" s="9"/>
      <c r="E26" s="10"/>
      <c r="F26" s="7">
        <f t="shared" si="5"/>
        <v>0</v>
      </c>
      <c r="G26" s="11"/>
      <c r="H26" s="12" t="s">
        <v>21</v>
      </c>
      <c r="I26" s="70">
        <v>196000</v>
      </c>
      <c r="J26" s="26" t="s">
        <v>42</v>
      </c>
      <c r="K26" s="25" t="s">
        <v>4</v>
      </c>
      <c r="L26" s="23" t="s">
        <v>48</v>
      </c>
      <c r="M26" s="24"/>
      <c r="N26" s="24"/>
      <c r="O26" s="23"/>
      <c r="P26" s="27" t="s">
        <v>49</v>
      </c>
      <c r="Q26" s="2">
        <f>I22-Q25</f>
        <v>19969.54</v>
      </c>
    </row>
    <row r="27" s="2" customFormat="1" ht="18" customHeight="1" spans="1:16">
      <c r="A27" s="6"/>
      <c r="B27" s="7">
        <f t="shared" si="4"/>
        <v>0</v>
      </c>
      <c r="C27" s="8"/>
      <c r="D27" s="9"/>
      <c r="E27" s="10"/>
      <c r="F27" s="7">
        <f t="shared" si="5"/>
        <v>0</v>
      </c>
      <c r="G27" s="11"/>
      <c r="H27" s="12" t="s">
        <v>50</v>
      </c>
      <c r="I27" s="70">
        <v>14000</v>
      </c>
      <c r="J27" s="26" t="s">
        <v>42</v>
      </c>
      <c r="K27" s="25" t="s">
        <v>4</v>
      </c>
      <c r="L27" s="23" t="s">
        <v>48</v>
      </c>
      <c r="M27" s="24"/>
      <c r="N27" s="24"/>
      <c r="O27" s="23"/>
      <c r="P27" s="27" t="s">
        <v>49</v>
      </c>
    </row>
    <row r="28" s="2" customFormat="1" ht="18" customHeight="1" spans="1:15">
      <c r="A28" s="6"/>
      <c r="B28" s="7">
        <f t="shared" si="4"/>
        <v>0</v>
      </c>
      <c r="C28" s="8"/>
      <c r="D28" s="9"/>
      <c r="E28" s="10"/>
      <c r="F28" s="7">
        <f t="shared" si="5"/>
        <v>0</v>
      </c>
      <c r="G28" s="11"/>
      <c r="H28" s="12"/>
      <c r="I28" s="70"/>
      <c r="J28" s="26" t="s">
        <v>42</v>
      </c>
      <c r="K28" s="25" t="s">
        <v>37</v>
      </c>
      <c r="L28" s="23"/>
      <c r="M28" s="24"/>
      <c r="N28" s="24"/>
      <c r="O28" s="23"/>
    </row>
    <row r="29" s="2" customFormat="1" ht="18" customHeight="1" spans="1:15">
      <c r="A29" s="6">
        <v>45308</v>
      </c>
      <c r="B29" s="7">
        <f t="shared" si="4"/>
        <v>7000</v>
      </c>
      <c r="C29" s="8"/>
      <c r="D29" s="9" t="s">
        <v>51</v>
      </c>
      <c r="E29" s="10"/>
      <c r="F29" s="7">
        <f t="shared" si="5"/>
        <v>0</v>
      </c>
      <c r="G29" s="11">
        <v>7000</v>
      </c>
      <c r="H29" s="12"/>
      <c r="I29" s="70"/>
      <c r="J29" s="26"/>
      <c r="K29" s="25" t="s">
        <v>52</v>
      </c>
      <c r="L29" s="23" t="s">
        <v>53</v>
      </c>
      <c r="M29" s="24"/>
      <c r="N29" s="24"/>
      <c r="O29" s="23"/>
    </row>
    <row r="30" s="2" customFormat="1" ht="18" customHeight="1" spans="1:15">
      <c r="A30" s="6"/>
      <c r="B30" s="7">
        <f t="shared" si="4"/>
        <v>0</v>
      </c>
      <c r="C30" s="8"/>
      <c r="D30" s="9"/>
      <c r="E30" s="10"/>
      <c r="F30" s="7">
        <f t="shared" si="5"/>
        <v>0</v>
      </c>
      <c r="G30" s="11"/>
      <c r="H30" s="12"/>
      <c r="I30" s="70"/>
      <c r="J30" s="26"/>
      <c r="K30" s="25" t="s">
        <v>54</v>
      </c>
      <c r="L30" s="23"/>
      <c r="M30" s="24"/>
      <c r="N30" s="24"/>
      <c r="O30" s="23"/>
    </row>
    <row r="31" s="2" customFormat="1" ht="18" customHeight="1" spans="1:15">
      <c r="A31" s="6">
        <v>45308</v>
      </c>
      <c r="B31" s="7">
        <f t="shared" ref="B31:B37" si="6">ROUND(G31/(1+E31),2)</f>
        <v>5000</v>
      </c>
      <c r="C31" s="8"/>
      <c r="D31" s="9" t="s">
        <v>51</v>
      </c>
      <c r="E31" s="10"/>
      <c r="F31" s="7">
        <f t="shared" si="5"/>
        <v>0</v>
      </c>
      <c r="G31" s="11">
        <v>5000</v>
      </c>
      <c r="H31" s="12"/>
      <c r="I31" s="70"/>
      <c r="J31" s="26"/>
      <c r="K31" s="25" t="s">
        <v>55</v>
      </c>
      <c r="L31" s="23" t="s">
        <v>56</v>
      </c>
      <c r="M31" s="24"/>
      <c r="N31" s="24"/>
      <c r="O31" s="23"/>
    </row>
    <row r="32" s="2" customFormat="1" ht="18" customHeight="1" spans="1:15">
      <c r="A32" s="6"/>
      <c r="B32" s="7">
        <f t="shared" si="6"/>
        <v>0</v>
      </c>
      <c r="C32" s="8"/>
      <c r="D32" s="9"/>
      <c r="E32" s="10"/>
      <c r="F32" s="7">
        <f t="shared" si="5"/>
        <v>0</v>
      </c>
      <c r="G32" s="11"/>
      <c r="H32" s="12"/>
      <c r="I32" s="70"/>
      <c r="J32" s="26"/>
      <c r="K32" s="25" t="s">
        <v>57</v>
      </c>
      <c r="L32" s="23"/>
      <c r="M32" s="24"/>
      <c r="N32" s="24"/>
      <c r="O32" s="23"/>
    </row>
    <row r="33" s="2" customFormat="1" ht="18" customHeight="1" spans="1:15">
      <c r="A33" s="6"/>
      <c r="B33" s="7">
        <f t="shared" si="6"/>
        <v>0</v>
      </c>
      <c r="C33" s="8"/>
      <c r="D33" s="9"/>
      <c r="E33" s="10"/>
      <c r="F33" s="7">
        <f t="shared" si="5"/>
        <v>0</v>
      </c>
      <c r="G33" s="11"/>
      <c r="H33" s="12"/>
      <c r="I33" s="70"/>
      <c r="J33" s="26"/>
      <c r="K33" s="25"/>
      <c r="L33" s="23"/>
      <c r="M33" s="24"/>
      <c r="N33" s="24"/>
      <c r="O33" s="23"/>
    </row>
    <row r="34" s="2" customFormat="1" ht="18" customHeight="1" spans="1:15">
      <c r="A34" s="6"/>
      <c r="B34" s="7">
        <f t="shared" si="6"/>
        <v>0</v>
      </c>
      <c r="C34" s="8"/>
      <c r="D34" s="9"/>
      <c r="E34" s="10"/>
      <c r="F34" s="7">
        <f t="shared" si="5"/>
        <v>0</v>
      </c>
      <c r="G34" s="11"/>
      <c r="H34" s="12"/>
      <c r="I34" s="70"/>
      <c r="J34" s="26"/>
      <c r="K34" s="25"/>
      <c r="L34" s="23"/>
      <c r="M34" s="24"/>
      <c r="N34" s="24"/>
      <c r="O34" s="23"/>
    </row>
    <row r="35" s="2" customFormat="1" ht="18" customHeight="1" spans="1:15">
      <c r="A35" s="6"/>
      <c r="B35" s="7">
        <f t="shared" si="6"/>
        <v>0</v>
      </c>
      <c r="C35" s="8"/>
      <c r="D35" s="9"/>
      <c r="E35" s="10"/>
      <c r="F35" s="7">
        <f t="shared" si="5"/>
        <v>0</v>
      </c>
      <c r="G35" s="11"/>
      <c r="H35" s="12"/>
      <c r="I35" s="70">
        <v>100</v>
      </c>
      <c r="J35" s="71" t="s">
        <v>58</v>
      </c>
      <c r="K35" s="72" t="s">
        <v>59</v>
      </c>
      <c r="L35" s="23"/>
      <c r="M35" s="24"/>
      <c r="N35" s="24"/>
      <c r="O35" s="23"/>
    </row>
    <row r="36" s="2" customFormat="1" ht="18" customHeight="1" spans="1:15">
      <c r="A36" s="6"/>
      <c r="B36" s="7">
        <f t="shared" si="6"/>
        <v>0</v>
      </c>
      <c r="C36" s="8"/>
      <c r="D36" s="9"/>
      <c r="E36" s="10"/>
      <c r="F36" s="7">
        <f t="shared" si="5"/>
        <v>0</v>
      </c>
      <c r="G36" s="11"/>
      <c r="H36" s="12"/>
      <c r="I36" s="70"/>
      <c r="J36" s="71"/>
      <c r="K36" s="72"/>
      <c r="L36" s="23"/>
      <c r="M36" s="24"/>
      <c r="N36" s="24"/>
      <c r="O36" s="23"/>
    </row>
    <row r="37" s="2" customFormat="1" ht="18" customHeight="1" spans="1:15">
      <c r="A37" s="6"/>
      <c r="B37" s="7">
        <f t="shared" si="6"/>
        <v>0</v>
      </c>
      <c r="C37" s="8"/>
      <c r="D37" s="9"/>
      <c r="E37" s="10"/>
      <c r="F37" s="7">
        <f t="shared" si="5"/>
        <v>0</v>
      </c>
      <c r="G37" s="11"/>
      <c r="H37" s="12"/>
      <c r="I37" s="73">
        <v>541.989232482024</v>
      </c>
      <c r="J37" s="71" t="s">
        <v>58</v>
      </c>
      <c r="K37" s="72" t="s">
        <v>60</v>
      </c>
      <c r="L37" s="23"/>
      <c r="M37" s="24"/>
      <c r="N37" s="24"/>
      <c r="O37" s="23"/>
    </row>
    <row r="38" s="2" customFormat="1" ht="18" customHeight="1" spans="1:15">
      <c r="A38" s="6"/>
      <c r="B38" s="7">
        <f t="shared" ref="B37:B43" si="7">ROUND(G38/(1+E38),2)</f>
        <v>0</v>
      </c>
      <c r="C38" s="8"/>
      <c r="D38" s="9"/>
      <c r="E38" s="10"/>
      <c r="F38" s="7">
        <f t="shared" si="5"/>
        <v>0</v>
      </c>
      <c r="G38" s="11"/>
      <c r="H38" s="12">
        <v>43850</v>
      </c>
      <c r="I38" s="74">
        <v>-16726.95</v>
      </c>
      <c r="J38" s="75" t="s">
        <v>61</v>
      </c>
      <c r="K38" s="25" t="s">
        <v>62</v>
      </c>
      <c r="L38" s="23"/>
      <c r="M38" s="24"/>
      <c r="N38" s="24"/>
      <c r="O38" s="23"/>
    </row>
    <row r="39" s="2" customFormat="1" ht="18" customHeight="1" spans="1:15">
      <c r="A39" s="6"/>
      <c r="B39" s="7">
        <f t="shared" si="7"/>
        <v>0</v>
      </c>
      <c r="C39" s="8"/>
      <c r="D39" s="9"/>
      <c r="E39" s="10"/>
      <c r="F39" s="7">
        <f t="shared" ref="F37:F43" si="8">ROUND(G39/(1+E39)*E39,2)</f>
        <v>0</v>
      </c>
      <c r="G39" s="11"/>
      <c r="H39" s="12" t="s">
        <v>63</v>
      </c>
      <c r="I39" s="74">
        <v>16726.95</v>
      </c>
      <c r="J39" s="75" t="s">
        <v>58</v>
      </c>
      <c r="K39" s="25" t="s">
        <v>64</v>
      </c>
      <c r="L39" s="23"/>
      <c r="M39" s="24"/>
      <c r="N39" s="24"/>
      <c r="O39" s="23"/>
    </row>
    <row r="40" s="2" customFormat="1" ht="18" customHeight="1" spans="1:15">
      <c r="A40" s="6"/>
      <c r="B40" s="7">
        <f t="shared" si="7"/>
        <v>0</v>
      </c>
      <c r="C40" s="8"/>
      <c r="D40" s="9"/>
      <c r="E40" s="10"/>
      <c r="F40" s="7">
        <f t="shared" si="8"/>
        <v>0</v>
      </c>
      <c r="G40" s="11"/>
      <c r="H40" s="12" t="s">
        <v>63</v>
      </c>
      <c r="I40" s="74">
        <v>13082.46</v>
      </c>
      <c r="J40" s="75" t="s">
        <v>58</v>
      </c>
      <c r="K40" s="25" t="s">
        <v>65</v>
      </c>
      <c r="L40" s="23"/>
      <c r="M40" s="24"/>
      <c r="N40" s="24"/>
      <c r="O40" s="76">
        <v>51312.45</v>
      </c>
    </row>
    <row r="41" s="2" customFormat="1" ht="18" customHeight="1" spans="1:15">
      <c r="A41" s="6"/>
      <c r="B41" s="7">
        <f t="shared" si="7"/>
        <v>0</v>
      </c>
      <c r="C41" s="8"/>
      <c r="D41" s="9"/>
      <c r="E41" s="10"/>
      <c r="F41" s="7">
        <f t="shared" si="8"/>
        <v>0</v>
      </c>
      <c r="G41" s="11"/>
      <c r="H41" s="12" t="s">
        <v>63</v>
      </c>
      <c r="I41" s="74">
        <v>700</v>
      </c>
      <c r="J41" s="75" t="s">
        <v>58</v>
      </c>
      <c r="K41" s="25" t="s">
        <v>66</v>
      </c>
      <c r="L41" s="23"/>
      <c r="M41" s="24"/>
      <c r="N41" s="24"/>
      <c r="O41" s="23"/>
    </row>
    <row r="42" s="2" customFormat="1" ht="18" customHeight="1" spans="1:16">
      <c r="A42" s="6"/>
      <c r="B42" s="7">
        <f t="shared" si="7"/>
        <v>31988</v>
      </c>
      <c r="C42" s="8"/>
      <c r="D42" s="9"/>
      <c r="E42" s="10"/>
      <c r="F42" s="7">
        <f t="shared" si="8"/>
        <v>0</v>
      </c>
      <c r="G42" s="11">
        <f>31988</f>
        <v>31988</v>
      </c>
      <c r="H42" s="12" t="s">
        <v>63</v>
      </c>
      <c r="I42" s="74">
        <f>G42</f>
        <v>31988</v>
      </c>
      <c r="J42" s="75" t="s">
        <v>58</v>
      </c>
      <c r="K42" s="25" t="s">
        <v>67</v>
      </c>
      <c r="L42" s="23"/>
      <c r="M42" s="24"/>
      <c r="N42" s="24"/>
      <c r="O42" s="23"/>
      <c r="P42" s="2">
        <f>I42/D2</f>
        <v>0.0500007698317851</v>
      </c>
    </row>
    <row r="43" s="2" customFormat="1" ht="18" customHeight="1" spans="1:15">
      <c r="A43" s="6"/>
      <c r="B43" s="7">
        <f t="shared" si="7"/>
        <v>0</v>
      </c>
      <c r="C43" s="8"/>
      <c r="D43" s="9"/>
      <c r="E43" s="10"/>
      <c r="F43" s="7">
        <f t="shared" si="8"/>
        <v>0</v>
      </c>
      <c r="G43" s="11"/>
      <c r="H43" s="12"/>
      <c r="I43" s="74">
        <v>5000</v>
      </c>
      <c r="J43" s="75" t="s">
        <v>68</v>
      </c>
      <c r="K43" s="25" t="s">
        <v>69</v>
      </c>
      <c r="L43" s="23"/>
      <c r="M43" s="24"/>
      <c r="N43" s="24"/>
      <c r="O43" s="23"/>
    </row>
    <row r="44" ht="18" customHeight="1" spans="1:15">
      <c r="A44" s="54" t="s">
        <v>23</v>
      </c>
      <c r="B44" s="53">
        <f>SUM(B14:B43)</f>
        <v>403529.66</v>
      </c>
      <c r="C44" s="54"/>
      <c r="D44" s="58"/>
      <c r="E44" s="58"/>
      <c r="F44" s="56">
        <f>SUM(F14:F43)</f>
        <v>24593.34</v>
      </c>
      <c r="G44" s="59">
        <f>SUM(G14:G43)</f>
        <v>428123</v>
      </c>
      <c r="H44" s="60"/>
      <c r="I44" s="55">
        <f>SUM(I14:I43)</f>
        <v>450641.989232482</v>
      </c>
      <c r="J44" s="77"/>
      <c r="K44" s="58"/>
      <c r="L44" s="57"/>
      <c r="M44" s="21"/>
      <c r="N44" s="21"/>
      <c r="O44" s="57"/>
    </row>
    <row r="45" ht="18" customHeight="1" spans="1:14">
      <c r="A45" s="61" t="s">
        <v>70</v>
      </c>
      <c r="B45" s="62">
        <f>B11-B44</f>
        <v>219108.818799901</v>
      </c>
      <c r="C45" s="61"/>
      <c r="D45" s="63"/>
      <c r="E45" s="63"/>
      <c r="F45" s="62"/>
      <c r="G45" s="62">
        <f>G11-G44</f>
        <v>258661.05</v>
      </c>
      <c r="H45" s="19" t="s">
        <v>71</v>
      </c>
      <c r="I45" s="55">
        <f>I11-I44</f>
        <v>19358.0107675179</v>
      </c>
      <c r="J45" s="1"/>
      <c r="K45" s="78"/>
      <c r="M45" s="79"/>
      <c r="N45" s="79"/>
    </row>
    <row r="46" ht="18" customHeight="1" spans="1:3">
      <c r="A46" s="36" t="s">
        <v>72</v>
      </c>
      <c r="C46" s="36"/>
    </row>
    <row r="47" ht="18" customHeight="1" spans="1:9">
      <c r="A47" s="19" t="s">
        <v>73</v>
      </c>
      <c r="B47" s="4" t="s">
        <v>74</v>
      </c>
      <c r="C47" s="57"/>
      <c r="D47" s="19" t="s">
        <v>73</v>
      </c>
      <c r="E47" s="5" t="s">
        <v>16</v>
      </c>
      <c r="F47" s="4" t="s">
        <v>74</v>
      </c>
      <c r="G47" s="4" t="s">
        <v>75</v>
      </c>
      <c r="H47" s="4" t="s">
        <v>76</v>
      </c>
      <c r="I47" s="4" t="s">
        <v>60</v>
      </c>
    </row>
    <row r="48" ht="18" customHeight="1" spans="1:9">
      <c r="A48" s="57" t="s">
        <v>77</v>
      </c>
      <c r="B48" s="7">
        <f>(B11-B44)*0.25</f>
        <v>54777.2046999752</v>
      </c>
      <c r="C48" s="57"/>
      <c r="D48" s="42" t="s">
        <v>78</v>
      </c>
      <c r="E48" s="21" t="s">
        <v>79</v>
      </c>
      <c r="F48" s="64">
        <f>F11-F44</f>
        <v>27099.4616241012</v>
      </c>
      <c r="G48" s="64">
        <f>F8-SUM(F23:F24)</f>
        <v>11893.1464864865</v>
      </c>
      <c r="H48" s="64">
        <v>15206.3151376147</v>
      </c>
      <c r="I48" s="64">
        <v>0</v>
      </c>
    </row>
    <row r="49" ht="18" customHeight="1" spans="1:9">
      <c r="A49" s="57" t="s">
        <v>80</v>
      </c>
      <c r="B49" s="65" t="s">
        <v>81</v>
      </c>
      <c r="C49" s="57"/>
      <c r="D49" s="66" t="s">
        <v>82</v>
      </c>
      <c r="E49" s="45">
        <v>0.07</v>
      </c>
      <c r="F49" s="20">
        <f>F48*E49</f>
        <v>1896.96231368708</v>
      </c>
      <c r="G49" s="20">
        <f>G48*0.05</f>
        <v>594.657324324324</v>
      </c>
      <c r="H49" s="20">
        <f>H48*0.05</f>
        <v>760.315756880735</v>
      </c>
      <c r="I49" s="20">
        <f>SUM(G48:H48)*0.07-G49-H49</f>
        <v>541.989232482024</v>
      </c>
    </row>
    <row r="50" ht="18" customHeight="1" spans="1:9">
      <c r="A50" s="57" t="s">
        <v>83</v>
      </c>
      <c r="B50" s="65" t="s">
        <v>81</v>
      </c>
      <c r="C50" s="57"/>
      <c r="D50" s="66" t="s">
        <v>84</v>
      </c>
      <c r="E50" s="45">
        <v>0.03</v>
      </c>
      <c r="F50" s="20">
        <f>F48*E50</f>
        <v>812.983848723035</v>
      </c>
      <c r="G50" s="20">
        <f>G48*E50</f>
        <v>356.794394594595</v>
      </c>
      <c r="H50" s="20">
        <v>456.18945412844</v>
      </c>
      <c r="I50" s="20"/>
    </row>
    <row r="51" ht="18" customHeight="1" spans="1:9">
      <c r="A51" s="57"/>
      <c r="B51" s="20"/>
      <c r="C51" s="57"/>
      <c r="D51" s="66" t="s">
        <v>85</v>
      </c>
      <c r="E51" s="45">
        <v>0.02</v>
      </c>
      <c r="F51" s="20">
        <f>F48*E51</f>
        <v>541.989232482023</v>
      </c>
      <c r="G51" s="20">
        <f>G48*E51</f>
        <v>237.86292972973</v>
      </c>
      <c r="H51" s="20">
        <v>304.126302752294</v>
      </c>
      <c r="I51" s="20"/>
    </row>
    <row r="52" ht="18" customHeight="1" spans="1:9">
      <c r="A52" s="52" t="s">
        <v>86</v>
      </c>
      <c r="B52" s="53">
        <f>SUM(B48:B51)</f>
        <v>54777.2046999752</v>
      </c>
      <c r="C52" s="57"/>
      <c r="D52" s="52" t="s">
        <v>86</v>
      </c>
      <c r="E52" s="52"/>
      <c r="F52" s="56">
        <f>SUM(F48:F51)</f>
        <v>30351.3970189933</v>
      </c>
      <c r="G52" s="56">
        <f>SUM(G48:G51)</f>
        <v>13082.4611351351</v>
      </c>
      <c r="H52" s="56">
        <v>16726.9466513761</v>
      </c>
      <c r="I52" s="56">
        <f>I49</f>
        <v>541.989232482024</v>
      </c>
    </row>
    <row r="53" ht="18" customHeight="1" spans="3:8">
      <c r="C53" s="36"/>
      <c r="D53" s="54" t="s">
        <v>23</v>
      </c>
      <c r="E53" s="54"/>
      <c r="F53" s="55">
        <f>F52</f>
        <v>30351.3970189933</v>
      </c>
      <c r="G53" s="55"/>
      <c r="H53" s="55"/>
    </row>
    <row r="54" ht="18" customHeight="1" spans="3:3">
      <c r="C54" s="36"/>
    </row>
    <row r="55" ht="18" customHeight="1" spans="3:3">
      <c r="C55" s="36"/>
    </row>
    <row r="56" ht="18" customHeight="1" spans="3:3">
      <c r="C56" s="36"/>
    </row>
    <row r="57" ht="18" customHeight="1" spans="3:3">
      <c r="C57" s="36"/>
    </row>
    <row r="58" spans="3:3">
      <c r="C58" s="36"/>
    </row>
    <row r="59" spans="3:3">
      <c r="C59" s="36"/>
    </row>
    <row r="60" spans="3:3">
      <c r="C60" s="36"/>
    </row>
    <row r="61" spans="3:3">
      <c r="C61" s="36"/>
    </row>
    <row r="62" spans="3:3">
      <c r="C62" s="36"/>
    </row>
    <row r="63" spans="3:3">
      <c r="C63" s="36"/>
    </row>
    <row r="64" spans="3:3">
      <c r="C64" s="36"/>
    </row>
    <row r="65" spans="3:3">
      <c r="C65" s="36"/>
    </row>
    <row r="66" spans="3:3">
      <c r="C66" s="36"/>
    </row>
    <row r="67" spans="3:3">
      <c r="C67" s="36"/>
    </row>
    <row r="68" spans="3:3">
      <c r="C68" s="36"/>
    </row>
    <row r="69" spans="3:3">
      <c r="C69" s="36"/>
    </row>
    <row r="70" spans="3:3">
      <c r="C70" s="36"/>
    </row>
    <row r="71" spans="3:3">
      <c r="C71" s="36"/>
    </row>
    <row r="72" spans="3:3">
      <c r="C72" s="36"/>
    </row>
    <row r="73" spans="3:3">
      <c r="C73" s="36"/>
    </row>
  </sheetData>
  <mergeCells count="8">
    <mergeCell ref="A1:J1"/>
    <mergeCell ref="H2:J2"/>
    <mergeCell ref="C5:D5"/>
    <mergeCell ref="E5:F5"/>
    <mergeCell ref="H5:J5"/>
    <mergeCell ref="A5:A6"/>
    <mergeCell ref="B5:B6"/>
    <mergeCell ref="G5:G6"/>
  </mergeCells>
  <pageMargins left="0.235416666666667" right="0.235416666666667" top="0.313888888888889" bottom="0.15625" header="0.313888888888889" footer="0.313888888888889"/>
  <pageSetup paperSize="9" orientation="landscape" verticalDpi="180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D33" sqref="D33"/>
    </sheetView>
  </sheetViews>
  <sheetFormatPr defaultColWidth="9" defaultRowHeight="13.5" outlineLevelRow="5" outlineLevelCol="2"/>
  <cols>
    <col min="3" max="3" width="16" customWidth="1"/>
  </cols>
  <sheetData>
    <row r="1" spans="1:3">
      <c r="A1" s="34" t="s">
        <v>73</v>
      </c>
      <c r="B1" s="34" t="s">
        <v>16</v>
      </c>
      <c r="C1" s="35" t="s">
        <v>76</v>
      </c>
    </row>
    <row r="2" spans="1:3">
      <c r="A2" s="34" t="s">
        <v>78</v>
      </c>
      <c r="B2" s="34" t="s">
        <v>79</v>
      </c>
      <c r="C2" s="35">
        <v>15206.3151376147</v>
      </c>
    </row>
    <row r="3" spans="1:3">
      <c r="A3" s="34" t="s">
        <v>82</v>
      </c>
      <c r="B3" s="34">
        <v>0.05</v>
      </c>
      <c r="C3" s="35">
        <v>760.315756880734</v>
      </c>
    </row>
    <row r="4" spans="1:3">
      <c r="A4" s="34" t="s">
        <v>84</v>
      </c>
      <c r="B4" s="34">
        <v>0.03</v>
      </c>
      <c r="C4" s="35">
        <v>456.18945412844</v>
      </c>
    </row>
    <row r="5" spans="1:3">
      <c r="A5" s="34" t="s">
        <v>85</v>
      </c>
      <c r="B5" s="34">
        <v>0.02</v>
      </c>
      <c r="C5" s="35">
        <v>304.126302752294</v>
      </c>
    </row>
    <row r="6" spans="1:3">
      <c r="A6" s="34" t="s">
        <v>86</v>
      </c>
      <c r="B6" s="34"/>
      <c r="C6" s="35">
        <v>16726.9466513761</v>
      </c>
    </row>
  </sheetData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7"/>
  <sheetViews>
    <sheetView workbookViewId="0">
      <selection activeCell="D4" sqref="D4"/>
    </sheetView>
  </sheetViews>
  <sheetFormatPr defaultColWidth="9" defaultRowHeight="13.5" outlineLevelRow="6" outlineLevelCol="3"/>
  <cols>
    <col min="1" max="4" width="16.625" customWidth="1"/>
  </cols>
  <sheetData>
    <row r="1" spans="1:3">
      <c r="A1" t="s">
        <v>32</v>
      </c>
      <c r="B1" t="s">
        <v>87</v>
      </c>
      <c r="C1" t="s">
        <v>88</v>
      </c>
    </row>
    <row r="2" spans="1:4">
      <c r="A2" t="s">
        <v>89</v>
      </c>
      <c r="B2">
        <v>80620</v>
      </c>
      <c r="C2">
        <v>80620</v>
      </c>
      <c r="D2">
        <f t="shared" ref="D2:D7" si="0">B2-C2</f>
        <v>0</v>
      </c>
    </row>
    <row r="3" spans="1:4">
      <c r="A3" t="s">
        <v>4</v>
      </c>
      <c r="C3">
        <v>210000</v>
      </c>
      <c r="D3">
        <f t="shared" si="0"/>
        <v>-210000</v>
      </c>
    </row>
    <row r="4" spans="1:4">
      <c r="A4" t="s">
        <v>37</v>
      </c>
      <c r="B4">
        <v>214875</v>
      </c>
      <c r="C4">
        <v>19969.54</v>
      </c>
      <c r="D4">
        <f t="shared" si="0"/>
        <v>194905.46</v>
      </c>
    </row>
    <row r="5" spans="1:4">
      <c r="A5" t="s">
        <v>44</v>
      </c>
      <c r="B5">
        <v>88640</v>
      </c>
      <c r="C5">
        <v>88640</v>
      </c>
      <c r="D5">
        <f t="shared" si="0"/>
        <v>0</v>
      </c>
    </row>
    <row r="6" spans="1:4">
      <c r="A6" t="s">
        <v>90</v>
      </c>
      <c r="D6">
        <f t="shared" si="0"/>
        <v>0</v>
      </c>
    </row>
    <row r="7" spans="1:4">
      <c r="A7" t="s">
        <v>91</v>
      </c>
      <c r="B7">
        <v>384135</v>
      </c>
      <c r="C7">
        <v>399229.54</v>
      </c>
      <c r="D7">
        <f t="shared" si="0"/>
        <v>-15094.54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C9"/>
  <sheetViews>
    <sheetView workbookViewId="0">
      <selection activeCell="A3" sqref="A3:C9"/>
    </sheetView>
  </sheetViews>
  <sheetFormatPr defaultColWidth="9" defaultRowHeight="13.5" outlineLevelCol="2"/>
  <cols>
    <col min="1" max="1" width="26.5"/>
    <col min="2" max="3" width="16.125"/>
  </cols>
  <sheetData>
    <row r="3" spans="1:3">
      <c r="A3" s="28" t="s">
        <v>32</v>
      </c>
      <c r="B3" s="28" t="s">
        <v>87</v>
      </c>
      <c r="C3" s="29" t="s">
        <v>88</v>
      </c>
    </row>
    <row r="4" spans="1:3">
      <c r="A4" s="28" t="s">
        <v>89</v>
      </c>
      <c r="B4" s="28">
        <v>80620</v>
      </c>
      <c r="C4" s="29">
        <v>80620</v>
      </c>
    </row>
    <row r="5" spans="1:3">
      <c r="A5" s="30" t="s">
        <v>4</v>
      </c>
      <c r="B5" s="30"/>
      <c r="C5" s="31">
        <v>210000</v>
      </c>
    </row>
    <row r="6" spans="1:3">
      <c r="A6" s="30" t="s">
        <v>37</v>
      </c>
      <c r="B6" s="30">
        <v>214875</v>
      </c>
      <c r="C6" s="31">
        <v>19969.54</v>
      </c>
    </row>
    <row r="7" spans="1:3">
      <c r="A7" s="30" t="s">
        <v>44</v>
      </c>
      <c r="B7" s="30">
        <v>88640</v>
      </c>
      <c r="C7" s="31">
        <v>88640</v>
      </c>
    </row>
    <row r="8" spans="1:3">
      <c r="A8" s="30" t="s">
        <v>90</v>
      </c>
      <c r="B8" s="30"/>
      <c r="C8" s="31"/>
    </row>
    <row r="9" spans="1:3">
      <c r="A9" s="32" t="s">
        <v>91</v>
      </c>
      <c r="B9" s="32">
        <v>384135</v>
      </c>
      <c r="C9" s="33">
        <v>399229.54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5"/>
  <sheetViews>
    <sheetView workbookViewId="0">
      <selection activeCell="A1" sqref="$A1:$XFD15"/>
    </sheetView>
  </sheetViews>
  <sheetFormatPr defaultColWidth="9" defaultRowHeight="13.5"/>
  <sheetData>
    <row r="1" s="1" customFormat="1" ht="18" customHeight="1" spans="1:15">
      <c r="A1" s="3" t="s">
        <v>25</v>
      </c>
      <c r="B1" s="4" t="s">
        <v>26</v>
      </c>
      <c r="C1" s="5" t="s">
        <v>27</v>
      </c>
      <c r="D1" s="5" t="s">
        <v>28</v>
      </c>
      <c r="E1" s="5" t="s">
        <v>16</v>
      </c>
      <c r="F1" s="4" t="s">
        <v>29</v>
      </c>
      <c r="G1" s="4" t="s">
        <v>14</v>
      </c>
      <c r="H1" s="5" t="s">
        <v>30</v>
      </c>
      <c r="I1" s="4" t="s">
        <v>31</v>
      </c>
      <c r="J1" s="5" t="s">
        <v>20</v>
      </c>
      <c r="K1" s="18" t="s">
        <v>32</v>
      </c>
      <c r="L1" s="19" t="s">
        <v>33</v>
      </c>
      <c r="M1" s="19" t="s">
        <v>34</v>
      </c>
      <c r="N1" s="19" t="s">
        <v>35</v>
      </c>
      <c r="O1" s="19" t="s">
        <v>36</v>
      </c>
    </row>
    <row r="2" s="2" customFormat="1" ht="18" customHeight="1" spans="1:15">
      <c r="A2" s="6"/>
      <c r="B2" s="7">
        <f t="shared" ref="B2:B15" si="0">ROUND(G2/(1+E2),2)</f>
        <v>0</v>
      </c>
      <c r="C2" s="8"/>
      <c r="D2" s="9"/>
      <c r="E2" s="10"/>
      <c r="F2" s="7">
        <f t="shared" ref="F2:F15" si="1">ROUND(G2/(1+E2)*E2,2)</f>
        <v>0</v>
      </c>
      <c r="G2" s="11"/>
      <c r="H2" s="12"/>
      <c r="I2" s="20"/>
      <c r="J2" s="21"/>
      <c r="K2" s="22"/>
      <c r="L2" s="23"/>
      <c r="M2" s="24"/>
      <c r="N2" s="24"/>
      <c r="O2" s="23"/>
    </row>
    <row r="3" s="2" customFormat="1" ht="18" customHeight="1" spans="1:15">
      <c r="A3" s="6"/>
      <c r="B3" s="7">
        <f t="shared" si="0"/>
        <v>52500</v>
      </c>
      <c r="C3" s="8"/>
      <c r="D3" s="9"/>
      <c r="E3" s="10"/>
      <c r="F3" s="7">
        <f t="shared" si="1"/>
        <v>0</v>
      </c>
      <c r="G3" s="11">
        <v>52500</v>
      </c>
      <c r="H3" s="12"/>
      <c r="I3" s="20"/>
      <c r="J3" s="21"/>
      <c r="K3" s="25" t="s">
        <v>37</v>
      </c>
      <c r="L3" s="23" t="s">
        <v>38</v>
      </c>
      <c r="M3" s="24"/>
      <c r="N3" s="24"/>
      <c r="O3" s="23"/>
    </row>
    <row r="4" s="2" customFormat="1" ht="18" customHeight="1" spans="1:15">
      <c r="A4" s="6"/>
      <c r="B4" s="7">
        <f t="shared" si="0"/>
        <v>52500</v>
      </c>
      <c r="C4" s="8"/>
      <c r="D4" s="9"/>
      <c r="E4" s="10"/>
      <c r="F4" s="7">
        <f t="shared" si="1"/>
        <v>0</v>
      </c>
      <c r="G4" s="11">
        <v>52500</v>
      </c>
      <c r="H4" s="12"/>
      <c r="I4" s="20"/>
      <c r="J4" s="21"/>
      <c r="K4" s="25" t="s">
        <v>37</v>
      </c>
      <c r="L4" s="23" t="s">
        <v>38</v>
      </c>
      <c r="M4" s="24"/>
      <c r="N4" s="24"/>
      <c r="O4" s="23"/>
    </row>
    <row r="5" s="2" customFormat="1" ht="18" customHeight="1" spans="1:15">
      <c r="A5" s="6"/>
      <c r="B5" s="7">
        <f t="shared" si="0"/>
        <v>52500</v>
      </c>
      <c r="C5" s="8"/>
      <c r="D5" s="9"/>
      <c r="E5" s="10"/>
      <c r="F5" s="7">
        <f t="shared" si="1"/>
        <v>0</v>
      </c>
      <c r="G5" s="11">
        <v>52500</v>
      </c>
      <c r="H5" s="12"/>
      <c r="I5" s="20"/>
      <c r="J5" s="21"/>
      <c r="K5" s="25" t="s">
        <v>37</v>
      </c>
      <c r="L5" s="23" t="s">
        <v>38</v>
      </c>
      <c r="M5" s="24"/>
      <c r="N5" s="24"/>
      <c r="O5" s="23"/>
    </row>
    <row r="6" s="2" customFormat="1" ht="18" customHeight="1" spans="1:15">
      <c r="A6" s="6"/>
      <c r="B6" s="7">
        <f t="shared" si="0"/>
        <v>52500</v>
      </c>
      <c r="C6" s="8"/>
      <c r="D6" s="9"/>
      <c r="E6" s="10"/>
      <c r="F6" s="7">
        <f t="shared" si="1"/>
        <v>0</v>
      </c>
      <c r="G6" s="11">
        <v>52500</v>
      </c>
      <c r="H6" s="12"/>
      <c r="I6" s="20"/>
      <c r="J6" s="21"/>
      <c r="K6" s="25" t="s">
        <v>37</v>
      </c>
      <c r="L6" s="23" t="s">
        <v>38</v>
      </c>
      <c r="M6" s="24"/>
      <c r="N6" s="24"/>
      <c r="O6" s="23"/>
    </row>
    <row r="7" s="2" customFormat="1" ht="18" customHeight="1" spans="1:15">
      <c r="A7" s="13">
        <v>43040</v>
      </c>
      <c r="B7" s="14">
        <f t="shared" si="0"/>
        <v>4875</v>
      </c>
      <c r="C7" s="15"/>
      <c r="D7" s="15" t="s">
        <v>39</v>
      </c>
      <c r="E7" s="16"/>
      <c r="F7" s="14">
        <f t="shared" si="1"/>
        <v>0</v>
      </c>
      <c r="G7" s="14">
        <v>4875</v>
      </c>
      <c r="H7" s="12"/>
      <c r="I7" s="20"/>
      <c r="J7" s="26"/>
      <c r="K7" s="25" t="s">
        <v>37</v>
      </c>
      <c r="L7" s="23" t="s">
        <v>40</v>
      </c>
      <c r="M7" s="24"/>
      <c r="N7" s="24"/>
      <c r="O7" s="23"/>
    </row>
    <row r="8" s="2" customFormat="1" ht="18" customHeight="1" spans="1:15">
      <c r="A8" s="6"/>
      <c r="B8" s="7">
        <f t="shared" si="0"/>
        <v>0</v>
      </c>
      <c r="C8" s="8"/>
      <c r="D8" s="9"/>
      <c r="E8" s="17"/>
      <c r="F8" s="7">
        <f t="shared" si="1"/>
        <v>0</v>
      </c>
      <c r="G8" s="11"/>
      <c r="H8" s="12" t="s">
        <v>41</v>
      </c>
      <c r="I8" s="20">
        <v>-88640</v>
      </c>
      <c r="J8" s="26" t="s">
        <v>42</v>
      </c>
      <c r="K8" s="25" t="s">
        <v>37</v>
      </c>
      <c r="L8" s="23" t="s">
        <v>43</v>
      </c>
      <c r="M8" s="24"/>
      <c r="N8" s="24"/>
      <c r="O8" s="23"/>
    </row>
    <row r="9" s="2" customFormat="1" ht="18" customHeight="1" spans="1:15">
      <c r="A9" s="6"/>
      <c r="B9" s="7">
        <f t="shared" si="0"/>
        <v>0</v>
      </c>
      <c r="C9" s="8"/>
      <c r="D9" s="9"/>
      <c r="E9" s="10"/>
      <c r="F9" s="7">
        <f t="shared" si="1"/>
        <v>0</v>
      </c>
      <c r="G9" s="11"/>
      <c r="H9" s="12" t="s">
        <v>41</v>
      </c>
      <c r="I9" s="20">
        <v>88640</v>
      </c>
      <c r="J9" s="21" t="s">
        <v>22</v>
      </c>
      <c r="K9" s="22" t="s">
        <v>44</v>
      </c>
      <c r="L9" s="23"/>
      <c r="M9" s="24"/>
      <c r="N9" s="24"/>
      <c r="O9" s="23"/>
    </row>
    <row r="10" s="2" customFormat="1" ht="18" customHeight="1" spans="1:15">
      <c r="A10" s="6"/>
      <c r="B10" s="7">
        <f t="shared" si="0"/>
        <v>0</v>
      </c>
      <c r="C10" s="8"/>
      <c r="D10" s="9"/>
      <c r="E10" s="10"/>
      <c r="F10" s="7">
        <f t="shared" si="1"/>
        <v>0</v>
      </c>
      <c r="G10" s="11"/>
      <c r="H10" s="12" t="s">
        <v>21</v>
      </c>
      <c r="I10" s="20">
        <v>189229.54</v>
      </c>
      <c r="J10" s="26" t="s">
        <v>42</v>
      </c>
      <c r="K10" s="25" t="s">
        <v>37</v>
      </c>
      <c r="L10" s="23" t="s">
        <v>43</v>
      </c>
      <c r="M10" s="24"/>
      <c r="N10" s="24"/>
      <c r="O10" s="23"/>
    </row>
    <row r="11" s="2" customFormat="1" ht="18" customHeight="1" spans="1:15">
      <c r="A11" s="6">
        <v>43101</v>
      </c>
      <c r="B11" s="7">
        <f t="shared" si="0"/>
        <v>75760.68</v>
      </c>
      <c r="D11" s="8" t="s">
        <v>39</v>
      </c>
      <c r="E11" s="17">
        <v>0.17</v>
      </c>
      <c r="F11" s="7">
        <f t="shared" si="1"/>
        <v>12879.32</v>
      </c>
      <c r="G11" s="11">
        <v>88640</v>
      </c>
      <c r="H11" s="12"/>
      <c r="I11" s="20"/>
      <c r="J11" s="21"/>
      <c r="K11" s="22" t="s">
        <v>44</v>
      </c>
      <c r="L11" s="23" t="s">
        <v>45</v>
      </c>
      <c r="M11" s="24"/>
      <c r="N11" s="24"/>
      <c r="O11" s="23"/>
    </row>
    <row r="12" s="2" customFormat="1" ht="18" customHeight="1" spans="1:15">
      <c r="A12" s="6">
        <v>43101</v>
      </c>
      <c r="B12" s="7">
        <f t="shared" si="0"/>
        <v>68905.98</v>
      </c>
      <c r="C12" s="8"/>
      <c r="D12" s="8" t="s">
        <v>39</v>
      </c>
      <c r="E12" s="17">
        <v>0.17</v>
      </c>
      <c r="F12" s="7">
        <f t="shared" si="1"/>
        <v>11714.02</v>
      </c>
      <c r="G12" s="11">
        <v>80620</v>
      </c>
      <c r="H12" s="12" t="s">
        <v>21</v>
      </c>
      <c r="I12" s="20">
        <v>80620</v>
      </c>
      <c r="J12" s="21" t="s">
        <v>22</v>
      </c>
      <c r="K12" s="22" t="s">
        <v>89</v>
      </c>
      <c r="L12" s="23" t="s">
        <v>47</v>
      </c>
      <c r="M12" s="24"/>
      <c r="N12" s="24"/>
      <c r="O12" s="23"/>
    </row>
    <row r="13" s="2" customFormat="1" ht="18" customHeight="1" spans="1:17">
      <c r="A13" s="6"/>
      <c r="B13" s="7">
        <f t="shared" si="0"/>
        <v>0</v>
      </c>
      <c r="C13" s="8"/>
      <c r="D13" s="9"/>
      <c r="E13" s="10"/>
      <c r="F13" s="7">
        <f t="shared" si="1"/>
        <v>0</v>
      </c>
      <c r="G13" s="11"/>
      <c r="H13" s="12" t="s">
        <v>21</v>
      </c>
      <c r="I13" s="20">
        <v>-80620</v>
      </c>
      <c r="J13" s="26" t="s">
        <v>42</v>
      </c>
      <c r="K13" s="25" t="s">
        <v>37</v>
      </c>
      <c r="L13" s="23" t="s">
        <v>43</v>
      </c>
      <c r="M13" s="24"/>
      <c r="N13" s="24"/>
      <c r="O13" s="23"/>
      <c r="Q13" s="2">
        <f>I9+I12</f>
        <v>169260</v>
      </c>
    </row>
    <row r="14" s="2" customFormat="1" ht="18" customHeight="1" spans="1:17">
      <c r="A14" s="6"/>
      <c r="B14" s="7">
        <f t="shared" si="0"/>
        <v>0</v>
      </c>
      <c r="C14" s="8"/>
      <c r="D14" s="9"/>
      <c r="E14" s="10"/>
      <c r="F14" s="7">
        <f t="shared" si="1"/>
        <v>0</v>
      </c>
      <c r="G14" s="11"/>
      <c r="H14" s="12" t="s">
        <v>21</v>
      </c>
      <c r="I14" s="20">
        <v>196000</v>
      </c>
      <c r="J14" s="26" t="s">
        <v>42</v>
      </c>
      <c r="K14" s="22" t="s">
        <v>4</v>
      </c>
      <c r="L14" s="23" t="s">
        <v>48</v>
      </c>
      <c r="M14" s="24"/>
      <c r="N14" s="24"/>
      <c r="O14" s="23"/>
      <c r="P14" s="27" t="s">
        <v>49</v>
      </c>
      <c r="Q14" s="2">
        <f>I10-Q13</f>
        <v>19969.54</v>
      </c>
    </row>
    <row r="15" s="2" customFormat="1" ht="18" customHeight="1" spans="1:16">
      <c r="A15" s="6"/>
      <c r="B15" s="7">
        <f t="shared" si="0"/>
        <v>0</v>
      </c>
      <c r="C15" s="8"/>
      <c r="D15" s="9"/>
      <c r="E15" s="10"/>
      <c r="F15" s="7">
        <f t="shared" si="1"/>
        <v>0</v>
      </c>
      <c r="G15" s="11"/>
      <c r="H15" s="12" t="s">
        <v>50</v>
      </c>
      <c r="I15" s="20">
        <v>14000</v>
      </c>
      <c r="J15" s="26" t="s">
        <v>42</v>
      </c>
      <c r="K15" s="22" t="s">
        <v>4</v>
      </c>
      <c r="L15" s="23" t="s">
        <v>48</v>
      </c>
      <c r="M15" s="24"/>
      <c r="N15" s="24"/>
      <c r="O15" s="23"/>
      <c r="P15" s="27" t="s">
        <v>49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Sheet4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cw05</dc:creator>
  <cp:lastModifiedBy>童</cp:lastModifiedBy>
  <dcterms:created xsi:type="dcterms:W3CDTF">2016-07-12T06:03:00Z</dcterms:created>
  <cp:lastPrinted>2016-11-23T10:22:00Z</cp:lastPrinted>
  <dcterms:modified xsi:type="dcterms:W3CDTF">2024-01-17T05:19:18Z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3EB0FAB64DBD44E8B43A1502005673AC_12</vt:lpwstr>
  </property>
</Properties>
</file>