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" sheetId="1" r:id="rId1"/>
    <sheet name="旧" sheetId="2" r:id="rId2"/>
    <sheet name="Sheet2" sheetId="3" r:id="rId3"/>
    <sheet name="Sheet1" sheetId="4" r:id="rId4"/>
  </sheets>
  <definedNames>
    <definedName name="_xlnm._FilterDatabase" localSheetId="0" hidden="1">新!$A$20:$O$74</definedName>
    <definedName name="_xlnm._FilterDatabase" localSheetId="1" hidden="1">旧!$A$20:$O$70</definedName>
  </definedNames>
  <calcPr calcId="191029" concurrentCalc="0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cw05</author>
    <author>qyr</author>
  </authors>
  <commentList>
    <comment ref="A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72" authorId="1">
      <text>
        <r>
          <rPr>
            <sz val="9"/>
            <rFont val="宋体"/>
            <charset val="134"/>
          </rPr>
          <t>qyr:
成本票已经提供，税款不扣</t>
        </r>
      </text>
    </comment>
    <comment ref="J7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J7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6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<sst xmlns="http://schemas.openxmlformats.org/spreadsheetml/2006/main" count="571" uniqueCount="122">
  <si>
    <t>C10505   鸠江区农村公路管护（裕新路维修工程）</t>
  </si>
  <si>
    <t>中标日期</t>
  </si>
  <si>
    <t>2018.10.9</t>
  </si>
  <si>
    <t>中标价</t>
  </si>
  <si>
    <t>负责人</t>
  </si>
  <si>
    <t>王冬汉</t>
  </si>
  <si>
    <t>建设单位</t>
  </si>
  <si>
    <t>芜湖市鸠江区住房和城乡建设委员会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</si>
  <si>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</si>
  <si>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</si>
  <si>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</si>
  <si>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</si>
  <si>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</si>
  <si>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</si>
  <si>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</si>
  <si>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</si>
  <si>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</si>
  <si>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</si>
  <si>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</si>
  <si>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</si>
  <si>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</si>
  <si>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</si>
  <si>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鸠江区农村公路管护（裕新路维修工程）水稳24000吨左右</t>
  </si>
  <si>
    <t>中行</t>
  </si>
  <si>
    <t>工行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</si>
  <si>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</si>
  <si>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</si>
  <si>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</si>
  <si>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</si>
  <si>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</si>
  <si>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</si>
  <si>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</si>
  <si>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</si>
  <si>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</si>
  <si>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</si>
  <si>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</si>
  <si>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</si>
  <si>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</si>
  <si>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</si>
  <si>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18-11-</t>
  </si>
  <si>
    <t>徽行</t>
  </si>
  <si>
    <t>李进</t>
  </si>
  <si>
    <t>芜湖荆峰建材销售有限公司</t>
  </si>
  <si>
    <t>18-1-</t>
  </si>
  <si>
    <t>合肥信和道桥工程检测咨询有限公司</t>
  </si>
  <si>
    <t>专</t>
  </si>
  <si>
    <t>安徽省招标集团股份有限公司</t>
  </si>
  <si>
    <t>招标服务费</t>
  </si>
  <si>
    <t>普</t>
  </si>
  <si>
    <t>安徽省电子认证管理中心有限责任公司</t>
  </si>
  <si>
    <t>数字证书变更费、注册费</t>
  </si>
  <si>
    <t>安徽润创建材贸易有限公司</t>
  </si>
  <si>
    <t>水泥稳定碎石2973.56吨</t>
  </si>
  <si>
    <t>有</t>
  </si>
  <si>
    <t>专代</t>
  </si>
  <si>
    <t>芜湖市好运机械租赁有限责任公司</t>
  </si>
  <si>
    <t>机械租赁</t>
  </si>
  <si>
    <t>结算单</t>
  </si>
  <si>
    <t>芜湖信诚机械租赁有限公司</t>
  </si>
  <si>
    <t>安徽郑彬建设工程有限公司</t>
  </si>
  <si>
    <t>机械租赁费</t>
  </si>
  <si>
    <t>安徽硕德建筑劳务有限公司</t>
  </si>
  <si>
    <t>工程款</t>
  </si>
  <si>
    <t>安徽利银交通设施工程有限公司</t>
  </si>
  <si>
    <t>护栏</t>
  </si>
  <si>
    <t>丁凯明</t>
  </si>
  <si>
    <t>水稳5302.99吨*116.81</t>
  </si>
  <si>
    <t>货单5773.11</t>
  </si>
  <si>
    <t>检测费</t>
  </si>
  <si>
    <t>芜湖万春建筑安装有限公司</t>
  </si>
  <si>
    <t>劳务费</t>
  </si>
  <si>
    <t>安徽广祥同建设有限公司</t>
  </si>
  <si>
    <t>工程服务</t>
  </si>
  <si>
    <t>决算表</t>
  </si>
  <si>
    <t>水泥稳定碎石7196.91吨</t>
  </si>
  <si>
    <t>试验检测费</t>
  </si>
  <si>
    <t>水稳1111.77吨</t>
  </si>
  <si>
    <t>沥青分包</t>
  </si>
  <si>
    <t>水稳</t>
  </si>
  <si>
    <t>劳务</t>
  </si>
  <si>
    <t>扣</t>
  </si>
  <si>
    <t>水利基金99.64+印花税54.3</t>
  </si>
  <si>
    <t>前期项目地已预交</t>
  </si>
  <si>
    <t>第五次</t>
  </si>
  <si>
    <t>企税1.6%(按照中标价扣完）</t>
  </si>
  <si>
    <t>转账手续费</t>
  </si>
  <si>
    <t>外经证</t>
  </si>
  <si>
    <t>2%到账管理费</t>
  </si>
  <si>
    <t>第三次</t>
  </si>
  <si>
    <t>企税1.6%</t>
  </si>
  <si>
    <t>第二次</t>
  </si>
  <si>
    <t>其他费用</t>
  </si>
  <si>
    <t>第一次</t>
  </si>
  <si>
    <t>建造师费用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</si>
  <si>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</si>
  <si>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</si>
  <si>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</si>
  <si>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</si>
  <si>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</si>
  <si>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</si>
  <si>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</si>
  <si>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19年3月开票扣税</t>
  </si>
  <si>
    <t>19年4月开票扣税</t>
  </si>
  <si>
    <t>19年6月开票扣税</t>
  </si>
  <si>
    <t>20年4月开票扣税</t>
  </si>
  <si>
    <t>23年5月开票扣税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</si>
  <si>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</si>
  <si>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</si>
  <si>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</si>
  <si>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</si>
  <si>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</si>
  <si>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</si>
  <si>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</si>
  <si>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</si>
  <si>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</si>
  <si>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</si>
  <si>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鸠江区农村公路管护（裕新路维修工程）</t>
  </si>
  <si>
    <t>数据</t>
  </si>
  <si>
    <t>求和项:价税合计</t>
  </si>
  <si>
    <t>求和项:付款金额</t>
  </si>
  <si>
    <t>(空白)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</si>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</sst>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99">
    <xf numFmtId="0" fontId="0" fillId="0" borderId="0" xfId="0"/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vertical="center"/>
    </xf>
    <xf numFmtId="18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9" fontId="3" fillId="2" borderId="1" xfId="3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2" xfId="0" applyBorder="1"/>
    <xf numFmtId="0" fontId="0" fillId="5" borderId="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NumberForma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9" fontId="2" fillId="0" borderId="1" xfId="3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6" borderId="1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1" fillId="7" borderId="1" xfId="0" applyNumberFormat="1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vertical="center"/>
    </xf>
    <xf numFmtId="177" fontId="2" fillId="4" borderId="1" xfId="0" applyNumberFormat="1" applyFont="1" applyFill="1" applyBorder="1" applyAlignment="1">
      <alignment vertical="center"/>
    </xf>
    <xf numFmtId="9" fontId="2" fillId="4" borderId="1" xfId="3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1" fillId="6" borderId="1" xfId="0" applyNumberFormat="1" applyFont="1" applyFill="1" applyBorder="1" applyAlignment="1">
      <alignment vertical="center"/>
    </xf>
    <xf numFmtId="178" fontId="1" fillId="7" borderId="1" xfId="0" applyNumberFormat="1" applyFont="1" applyFill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Date="45076.3585185185" recordCount="30">
  <cacheSource type="worksheet">
    <worksheetSource ref="A1:M31" sheet="Sheet1"/>
  </cacheSource>
  <cacheFields count="13">
    <cacheField name="认证日期" numFmtId="0">
      <sharedItems containsString="0" containsBlank="1" containsNonDate="0" containsDate="1" minDate="2019-03-01T00:00:00" maxDate="2019-11-01T00:00:00" count="6">
        <m/>
        <d v="2019-03-01T00:00:00"/>
        <d v="2019-04-01T00:00:00"/>
        <d v="2019-04-03T00:00:00"/>
        <d v="2019-06-01T00:00:00"/>
        <d v="2019-11-01T00:00:00"/>
      </sharedItems>
    </cacheField>
    <cacheField name="成本金额" numFmtId="0">
      <sharedItems containsString="0" containsBlank="1" containsNumber="1" minValue="0" maxValue="840707.96" count="20">
        <m/>
        <n v="22117.92"/>
        <n v="260"/>
        <n v="338371.93"/>
        <n v="12621.36"/>
        <n v="13495.15"/>
        <n v="27980.58"/>
        <n v="210000"/>
        <n v="0"/>
        <n v="141450.44"/>
        <n v="619469.03"/>
        <n v="18803.88"/>
        <n v="500000"/>
        <n v="485172.73"/>
        <n v="840707.96"/>
        <n v="733944.95"/>
        <n v="800000"/>
        <n v="45631.07"/>
        <n v="129870.62"/>
        <n v="231273.39"/>
      </sharedItems>
    </cacheField>
    <cacheField name="份数" numFmtId="0">
      <sharedItems containsString="0" containsBlank="1" containsNonDate="0" count="1">
        <m/>
      </sharedItems>
    </cacheField>
    <cacheField name="类型" numFmtId="0">
      <sharedItems containsBlank="1" count="4">
        <m/>
        <s v="专"/>
        <s v="普"/>
        <s v="专代"/>
      </sharedItems>
    </cacheField>
    <cacheField name="税率" numFmtId="0">
      <sharedItems containsString="0" containsBlank="1" containsNumber="1" minValue="0" maxValue="0.16" count="7">
        <m/>
        <n v="0.06"/>
        <n v="0.16"/>
        <n v="0.03"/>
        <n v="0.13"/>
        <n v="0.1"/>
        <n v="0.09"/>
      </sharedItems>
    </cacheField>
    <cacheField name="进项税额" numFmtId="0">
      <sharedItems containsString="0" containsBlank="1" containsNumber="1" minValue="0" maxValue="109292.04" count="16">
        <m/>
        <n v="1327.08"/>
        <n v="0"/>
        <n v="54139.51"/>
        <n v="378.64"/>
        <n v="404.85"/>
        <n v="839.42"/>
        <n v="18388.56"/>
        <n v="80530.97"/>
        <n v="564.12"/>
        <n v="48517.27"/>
        <n v="109292.04"/>
        <n v="66055.05"/>
        <n v="1368.93"/>
        <n v="16883.18"/>
        <n v="20814.61"/>
      </sharedItems>
    </cacheField>
    <cacheField name="价税合计" numFmtId="0">
      <sharedItems containsBlank="1" containsNumber="1" containsMixedTypes="1" count="19">
        <m/>
        <n v="23445"/>
        <n v="260"/>
        <n v="392511.44"/>
        <n v="13000"/>
        <n v="13900"/>
        <n v="28820"/>
        <n v="210000"/>
        <n v="159839"/>
        <n v="700000"/>
        <n v="19368"/>
        <n v="500000"/>
        <n v="533690"/>
        <n v="950000"/>
        <n v="800000"/>
        <s v="285966A9-A5BF-456B-88F2-8A25520761B6_800000"/>
        <n v="47000"/>
        <n v="146753.8"/>
        <n v="252088"/>
      </sharedItems>
    </cacheField>
    <cacheField name="付款日期" numFmtId="0">
      <sharedItems containsBlank="1" containsDate="1" containsMixedTypes="1" count="11">
        <s v="18-11-"/>
        <s v="18-1-"/>
        <m/>
        <d v="2019-03-27T00:00:00"/>
        <d v="2019-04-02T00:00:00"/>
        <d v="2019-04-03T00:00:00"/>
        <d v="2019-05-07T00:00:00"/>
        <d v="2019-07-03T00:00:00"/>
        <d v="2019-06-28T00:00:00"/>
        <d v="2019-08-09T00:00:00"/>
        <d v="2020-07-10T00:00:00"/>
      </sharedItems>
    </cacheField>
    <cacheField name="付款金额" numFmtId="0">
      <sharedItems containsBlank="1" containsNumber="1" containsMixedTypes="1" count="26">
        <n v="-300000"/>
        <n v="300000"/>
        <n v="-6000"/>
        <n v="6000"/>
        <m/>
        <n v="392511.44"/>
        <n v="13000"/>
        <n v="13900"/>
        <n v="28820"/>
        <n v="210000"/>
        <n v="110839"/>
        <n v="-110839"/>
        <n v="49000"/>
        <n v="-49000"/>
        <n v="700000"/>
        <n v="13368"/>
        <n v="411640.75"/>
        <n v="533690"/>
        <n v="919827.77"/>
        <n v="800000"/>
        <s v="285966A9-A5BF-456B-88F2-8A25520761B6_800000"/>
        <n v="47000"/>
        <n v="-47000"/>
        <n v="252088"/>
        <n v="176926.03"/>
        <n v="88359.25"/>
      </sharedItems>
    </cacheField>
    <cacheField name="银行" numFmtId="0">
      <sharedItems containsBlank="1" count="3">
        <s v="徽行"/>
        <s v="中行"/>
        <m/>
      </sharedItems>
    </cacheField>
    <cacheField name="销货单位" numFmtId="0">
      <sharedItems containsBlank="1" count="15">
        <s v="李进"/>
        <s v="芜湖荆峰建材销售有限公司"/>
        <s v="合肥信和道桥工程检测咨询有限公司"/>
        <s v="安徽省招标集团股份有限公司"/>
        <s v="安徽省电子认证管理中心有限责任公司"/>
        <s v="安徽润创建材贸易有限公司"/>
        <s v="芜湖市好运机械租赁有限责任公司"/>
        <s v="芜湖信诚机械租赁有限公司"/>
        <s v="安徽郑彬建设工程有限公司"/>
        <s v="安徽硕德建筑劳务有限公司"/>
        <s v="安徽利银交通设施工程有限公司"/>
        <s v="丁凯明"/>
        <s v="芜湖万春建筑安装有限公司"/>
        <s v="安徽广祥同建设有限公司"/>
        <m/>
      </sharedItems>
    </cacheField>
    <cacheField name="货物" numFmtId="0">
      <sharedItems containsBlank="1" count="18">
        <m/>
        <s v="招标服务费"/>
        <s v="数字证书变更费、注册费"/>
        <s v="水泥稳定碎石2973.56吨"/>
        <s v="机械租赁"/>
        <s v="机械租赁费"/>
        <s v="工程款"/>
        <s v="护栏"/>
        <s v="水稳5302.99吨*116.81"/>
        <s v="检测费"/>
        <s v="劳务费"/>
        <s v="工程服务"/>
        <s v="水泥稳定碎石7196.91吨"/>
        <s v="试验检测费"/>
        <s v="水稳1111.77吨"/>
        <s v="沥青分包"/>
        <s v="水稳"/>
        <s v="劳务"/>
      </sharedItems>
    </cacheField>
    <cacheField name="合同" numFmtId="0">
      <sharedItems containsBlank="1" count="2">
        <m/>
        <s v="有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1"/>
    <x v="0"/>
    <x v="0"/>
  </r>
  <r>
    <x v="0"/>
    <x v="0"/>
    <x v="0"/>
    <x v="0"/>
    <x v="0"/>
    <x v="0"/>
    <x v="0"/>
    <x v="1"/>
    <x v="2"/>
    <x v="0"/>
    <x v="0"/>
    <x v="0"/>
    <x v="0"/>
  </r>
  <r>
    <x v="0"/>
    <x v="0"/>
    <x v="0"/>
    <x v="0"/>
    <x v="0"/>
    <x v="0"/>
    <x v="0"/>
    <x v="1"/>
    <x v="3"/>
    <x v="1"/>
    <x v="2"/>
    <x v="0"/>
    <x v="0"/>
  </r>
  <r>
    <x v="1"/>
    <x v="1"/>
    <x v="0"/>
    <x v="1"/>
    <x v="1"/>
    <x v="1"/>
    <x v="1"/>
    <x v="2"/>
    <x v="4"/>
    <x v="2"/>
    <x v="3"/>
    <x v="1"/>
    <x v="0"/>
  </r>
  <r>
    <x v="1"/>
    <x v="2"/>
    <x v="0"/>
    <x v="2"/>
    <x v="0"/>
    <x v="2"/>
    <x v="2"/>
    <x v="2"/>
    <x v="4"/>
    <x v="2"/>
    <x v="4"/>
    <x v="2"/>
    <x v="0"/>
  </r>
  <r>
    <x v="1"/>
    <x v="3"/>
    <x v="0"/>
    <x v="1"/>
    <x v="2"/>
    <x v="3"/>
    <x v="3"/>
    <x v="3"/>
    <x v="5"/>
    <x v="1"/>
    <x v="5"/>
    <x v="3"/>
    <x v="1"/>
  </r>
  <r>
    <x v="1"/>
    <x v="4"/>
    <x v="0"/>
    <x v="3"/>
    <x v="3"/>
    <x v="4"/>
    <x v="4"/>
    <x v="4"/>
    <x v="6"/>
    <x v="1"/>
    <x v="6"/>
    <x v="4"/>
    <x v="1"/>
  </r>
  <r>
    <x v="1"/>
    <x v="5"/>
    <x v="0"/>
    <x v="3"/>
    <x v="3"/>
    <x v="5"/>
    <x v="5"/>
    <x v="4"/>
    <x v="7"/>
    <x v="1"/>
    <x v="7"/>
    <x v="4"/>
    <x v="1"/>
  </r>
  <r>
    <x v="1"/>
    <x v="6"/>
    <x v="0"/>
    <x v="3"/>
    <x v="3"/>
    <x v="6"/>
    <x v="6"/>
    <x v="4"/>
    <x v="8"/>
    <x v="1"/>
    <x v="8"/>
    <x v="5"/>
    <x v="1"/>
  </r>
  <r>
    <x v="1"/>
    <x v="7"/>
    <x v="0"/>
    <x v="2"/>
    <x v="0"/>
    <x v="2"/>
    <x v="7"/>
    <x v="4"/>
    <x v="9"/>
    <x v="1"/>
    <x v="9"/>
    <x v="6"/>
    <x v="1"/>
  </r>
  <r>
    <x v="0"/>
    <x v="8"/>
    <x v="0"/>
    <x v="0"/>
    <x v="0"/>
    <x v="2"/>
    <x v="0"/>
    <x v="4"/>
    <x v="10"/>
    <x v="1"/>
    <x v="10"/>
    <x v="7"/>
    <x v="0"/>
  </r>
  <r>
    <x v="0"/>
    <x v="8"/>
    <x v="0"/>
    <x v="0"/>
    <x v="0"/>
    <x v="2"/>
    <x v="0"/>
    <x v="4"/>
    <x v="11"/>
    <x v="0"/>
    <x v="11"/>
    <x v="0"/>
    <x v="0"/>
  </r>
  <r>
    <x v="2"/>
    <x v="9"/>
    <x v="0"/>
    <x v="1"/>
    <x v="4"/>
    <x v="7"/>
    <x v="8"/>
    <x v="5"/>
    <x v="12"/>
    <x v="1"/>
    <x v="10"/>
    <x v="7"/>
    <x v="0"/>
  </r>
  <r>
    <x v="0"/>
    <x v="8"/>
    <x v="0"/>
    <x v="0"/>
    <x v="0"/>
    <x v="2"/>
    <x v="0"/>
    <x v="5"/>
    <x v="13"/>
    <x v="0"/>
    <x v="11"/>
    <x v="0"/>
    <x v="0"/>
  </r>
  <r>
    <x v="2"/>
    <x v="10"/>
    <x v="0"/>
    <x v="1"/>
    <x v="4"/>
    <x v="8"/>
    <x v="9"/>
    <x v="6"/>
    <x v="14"/>
    <x v="1"/>
    <x v="5"/>
    <x v="8"/>
    <x v="1"/>
  </r>
  <r>
    <x v="3"/>
    <x v="11"/>
    <x v="0"/>
    <x v="1"/>
    <x v="3"/>
    <x v="9"/>
    <x v="10"/>
    <x v="6"/>
    <x v="15"/>
    <x v="1"/>
    <x v="2"/>
    <x v="9"/>
    <x v="1"/>
  </r>
  <r>
    <x v="2"/>
    <x v="12"/>
    <x v="0"/>
    <x v="2"/>
    <x v="0"/>
    <x v="2"/>
    <x v="11"/>
    <x v="6"/>
    <x v="16"/>
    <x v="1"/>
    <x v="12"/>
    <x v="10"/>
    <x v="1"/>
  </r>
  <r>
    <x v="2"/>
    <x v="13"/>
    <x v="0"/>
    <x v="1"/>
    <x v="5"/>
    <x v="10"/>
    <x v="12"/>
    <x v="6"/>
    <x v="17"/>
    <x v="1"/>
    <x v="13"/>
    <x v="11"/>
    <x v="1"/>
  </r>
  <r>
    <x v="4"/>
    <x v="14"/>
    <x v="0"/>
    <x v="1"/>
    <x v="4"/>
    <x v="11"/>
    <x v="13"/>
    <x v="7"/>
    <x v="18"/>
    <x v="1"/>
    <x v="5"/>
    <x v="12"/>
    <x v="1"/>
  </r>
  <r>
    <x v="4"/>
    <x v="15"/>
    <x v="0"/>
    <x v="1"/>
    <x v="6"/>
    <x v="12"/>
    <x v="14"/>
    <x v="8"/>
    <x v="19"/>
    <x v="1"/>
    <x v="13"/>
    <x v="11"/>
    <x v="1"/>
  </r>
  <r>
    <x v="4"/>
    <x v="16"/>
    <x v="0"/>
    <x v="2"/>
    <x v="0"/>
    <x v="2"/>
    <x v="14"/>
    <x v="8"/>
    <x v="19"/>
    <x v="1"/>
    <x v="12"/>
    <x v="10"/>
    <x v="0"/>
  </r>
  <r>
    <x v="5"/>
    <x v="17"/>
    <x v="0"/>
    <x v="1"/>
    <x v="3"/>
    <x v="13"/>
    <x v="16"/>
    <x v="9"/>
    <x v="21"/>
    <x v="1"/>
    <x v="2"/>
    <x v="13"/>
    <x v="1"/>
  </r>
  <r>
    <x v="0"/>
    <x v="8"/>
    <x v="0"/>
    <x v="0"/>
    <x v="0"/>
    <x v="2"/>
    <x v="0"/>
    <x v="9"/>
    <x v="22"/>
    <x v="0"/>
    <x v="11"/>
    <x v="0"/>
    <x v="0"/>
  </r>
  <r>
    <x v="5"/>
    <x v="18"/>
    <x v="0"/>
    <x v="1"/>
    <x v="4"/>
    <x v="14"/>
    <x v="17"/>
    <x v="2"/>
    <x v="4"/>
    <x v="2"/>
    <x v="5"/>
    <x v="14"/>
    <x v="1"/>
  </r>
  <r>
    <x v="5"/>
    <x v="19"/>
    <x v="0"/>
    <x v="1"/>
    <x v="6"/>
    <x v="15"/>
    <x v="18"/>
    <x v="2"/>
    <x v="4"/>
    <x v="2"/>
    <x v="13"/>
    <x v="11"/>
    <x v="1"/>
  </r>
  <r>
    <x v="0"/>
    <x v="8"/>
    <x v="0"/>
    <x v="0"/>
    <x v="0"/>
    <x v="2"/>
    <x v="0"/>
    <x v="10"/>
    <x v="23"/>
    <x v="2"/>
    <x v="13"/>
    <x v="15"/>
    <x v="0"/>
  </r>
  <r>
    <x v="0"/>
    <x v="8"/>
    <x v="0"/>
    <x v="0"/>
    <x v="0"/>
    <x v="2"/>
    <x v="0"/>
    <x v="10"/>
    <x v="24"/>
    <x v="2"/>
    <x v="5"/>
    <x v="16"/>
    <x v="0"/>
  </r>
  <r>
    <x v="0"/>
    <x v="8"/>
    <x v="0"/>
    <x v="0"/>
    <x v="0"/>
    <x v="2"/>
    <x v="0"/>
    <x v="10"/>
    <x v="25"/>
    <x v="2"/>
    <x v="12"/>
    <x v="17"/>
    <x v="0"/>
  </r>
  <r>
    <x v="0"/>
    <x v="0"/>
    <x v="0"/>
    <x v="0"/>
    <x v="0"/>
    <x v="0"/>
    <x v="0"/>
    <x v="2"/>
    <x v="4"/>
    <x v="2"/>
    <x v="1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数据" useAutoFormatting="1" compact="0" compactData="0" gridDropZones="1" showDrill="0">
  <location ref="A3:C20" firstHeaderRow="1" firstDataRow="2" firstDataCol="1"/>
  <pivotFields count="13">
    <pivotField compact="0" outline="0" subtotalTop="0" showAll="0">
      <items count="7">
        <item x="1"/>
        <item x="2"/>
        <item x="3"/>
        <item x="4"/>
        <item x="5"/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>
      <items count="20">
        <item x="2"/>
        <item x="4"/>
        <item x="5"/>
        <item x="10"/>
        <item x="1"/>
        <item x="6"/>
        <item x="16"/>
        <item x="17"/>
        <item x="8"/>
        <item x="7"/>
        <item x="18"/>
        <item x="3"/>
        <item x="11"/>
        <item x="12"/>
        <item x="9"/>
        <item x="14"/>
        <item x="15"/>
        <item x="13"/>
        <item x="0"/>
        <item t="default"/>
      </items>
    </pivotField>
    <pivotField compact="0" outline="0" subtotalTop="0" showAll="0"/>
    <pivotField dataField="1" compact="0" outline="0" subtotalTop="0" showAll="0">
      <items count="27">
        <item x="0"/>
        <item x="11"/>
        <item x="13"/>
        <item x="22"/>
        <item x="2"/>
        <item x="3"/>
        <item x="6"/>
        <item x="15"/>
        <item x="7"/>
        <item x="8"/>
        <item x="21"/>
        <item x="12"/>
        <item x="25"/>
        <item x="10"/>
        <item x="24"/>
        <item x="9"/>
        <item x="23"/>
        <item x="1"/>
        <item x="5"/>
        <item x="16"/>
        <item x="17"/>
        <item x="14"/>
        <item x="19"/>
        <item x="20"/>
        <item x="18"/>
        <item x="4"/>
        <item t="default"/>
      </items>
    </pivotField>
    <pivotField compact="0" outline="0" subtotalTop="0" showAll="0"/>
    <pivotField axis="axisRow" compact="0" outline="0" subtotalTop="0" showAll="0">
      <items count="16">
        <item x="13"/>
        <item x="10"/>
        <item x="5"/>
        <item x="4"/>
        <item x="3"/>
        <item x="9"/>
        <item x="8"/>
        <item x="11"/>
        <item x="2"/>
        <item x="0"/>
        <item x="1"/>
        <item x="6"/>
        <item x="12"/>
        <item x="7"/>
        <item x="14"/>
        <item t="default"/>
      </items>
    </pivotField>
    <pivotField compact="0" outline="0" subtotalTop="0" showAll="0"/>
    <pivotField compact="0" outline="0" subtotalTop="0" showAll="0"/>
  </pivotFields>
  <rowFields count="1">
    <field x="1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价税合计" fld="6" baseField="0" baseItem="0"/>
    <dataField name="求和项:付款金额" fld="8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topLeftCell="A16" workbookViewId="0">
      <selection activeCell="I21" sqref="I21:I44"/>
    </sheetView>
  </sheetViews>
  <sheetFormatPr defaultColWidth="9" defaultRowHeight="11.25"/>
  <cols>
    <col min="1" max="1" width="10.75" style="46" customWidth="1"/>
    <col min="2" max="2" width="13.125" style="47" customWidth="1"/>
    <col min="3" max="3" width="6" style="48" customWidth="1"/>
    <col min="4" max="4" width="13.375" style="48" customWidth="1"/>
    <col min="5" max="5" width="6" style="48" customWidth="1"/>
    <col min="6" max="6" width="13.125" style="47" customWidth="1"/>
    <col min="7" max="7" width="14.125" style="47" customWidth="1"/>
    <col min="8" max="8" width="12.125" style="48" customWidth="1"/>
    <col min="9" max="9" width="15.75" style="47" customWidth="1"/>
    <col min="10" max="10" width="6.125" style="49" customWidth="1"/>
    <col min="11" max="11" width="31.5" style="50" customWidth="1"/>
    <col min="12" max="12" width="16.875" style="50" customWidth="1"/>
    <col min="13" max="13" width="20.5" style="50" customWidth="1"/>
    <col min="14" max="14" width="13.5" style="50" customWidth="1"/>
    <col min="15" max="16384" width="9" style="50"/>
  </cols>
  <sheetData>
    <row r="1" ht="21.95" customHeight="1" spans="1:12">
      <c r="A1" s="51" t="s">
        <v>0</v>
      </c>
      <c r="B1" s="51"/>
      <c r="C1" s="51"/>
      <c r="D1" s="51"/>
      <c r="E1" s="51"/>
      <c r="F1" s="52"/>
      <c r="G1" s="52"/>
      <c r="H1" s="51"/>
      <c r="I1" s="52"/>
      <c r="J1" s="51"/>
      <c r="K1" s="60"/>
      <c r="L1" s="60"/>
    </row>
    <row r="2" ht="18" customHeight="1" spans="1:12">
      <c r="A2" s="53" t="s">
        <v>1</v>
      </c>
      <c r="B2" s="54" t="s">
        <v>2</v>
      </c>
      <c r="C2" s="8" t="s">
        <v>3</v>
      </c>
      <c r="D2" s="92">
        <v>6616376.99</v>
      </c>
      <c r="E2" s="56" t="s">
        <v>4</v>
      </c>
      <c r="F2" s="8" t="s">
        <v>5</v>
      </c>
      <c r="G2" s="57" t="s">
        <v>6</v>
      </c>
      <c r="H2" s="58" t="s">
        <v>7</v>
      </c>
      <c r="I2" s="79"/>
      <c r="J2" s="80"/>
      <c r="K2" s="60"/>
      <c r="L2" s="60"/>
    </row>
    <row r="3" ht="18" customHeight="1" spans="1:12">
      <c r="A3" s="53" t="s">
        <v>8</v>
      </c>
      <c r="B3" s="59"/>
      <c r="C3" s="8" t="s">
        <v>9</v>
      </c>
      <c r="D3" s="8">
        <v>6033519.76</v>
      </c>
      <c r="H3" s="60"/>
      <c r="I3" s="81"/>
      <c r="J3" s="60"/>
      <c r="K3" s="60"/>
      <c r="L3" s="60"/>
    </row>
    <row r="4" ht="18" customHeight="1" spans="1:12">
      <c r="A4" s="46" t="s">
        <v>10</v>
      </c>
      <c r="H4" s="60"/>
      <c r="I4" s="81"/>
      <c r="J4" s="60"/>
      <c r="K4" s="60"/>
      <c r="L4" s="60"/>
    </row>
    <row r="5" ht="18" customHeight="1" spans="1:10">
      <c r="A5" s="3" t="s">
        <v>11</v>
      </c>
      <c r="B5" s="2" t="s">
        <v>12</v>
      </c>
      <c r="C5" s="3" t="s">
        <v>13</v>
      </c>
      <c r="D5" s="3"/>
      <c r="E5" s="3" t="s">
        <v>14</v>
      </c>
      <c r="F5" s="2"/>
      <c r="G5" s="2" t="s">
        <v>15</v>
      </c>
      <c r="H5" s="25" t="s">
        <v>16</v>
      </c>
      <c r="I5" s="2"/>
      <c r="J5" s="25"/>
    </row>
    <row r="6" ht="18" customHeight="1" spans="1:11">
      <c r="A6" s="3"/>
      <c r="B6" s="2"/>
      <c r="C6" s="3" t="s">
        <v>17</v>
      </c>
      <c r="D6" s="3" t="s">
        <v>18</v>
      </c>
      <c r="E6" s="3" t="s">
        <v>17</v>
      </c>
      <c r="F6" s="2" t="s">
        <v>18</v>
      </c>
      <c r="G6" s="2"/>
      <c r="H6" s="25" t="s">
        <v>19</v>
      </c>
      <c r="I6" s="2" t="s">
        <v>20</v>
      </c>
      <c r="J6" s="25" t="s">
        <v>21</v>
      </c>
      <c r="K6" s="50" t="s">
        <v>22</v>
      </c>
    </row>
    <row r="7" ht="18" customHeight="1" spans="1:14">
      <c r="A7" s="6">
        <v>43539</v>
      </c>
      <c r="B7" s="8">
        <f t="shared" ref="B7:B17" si="0">G7/(1+C7+E7)</f>
        <v>639331.063636364</v>
      </c>
      <c r="C7" s="62">
        <v>0.02</v>
      </c>
      <c r="D7" s="93">
        <f t="shared" ref="D7:D17" si="1">G7/(1+E7+C7)*C7</f>
        <v>12786.6212727273</v>
      </c>
      <c r="E7" s="62">
        <v>0.08</v>
      </c>
      <c r="F7" s="8">
        <f t="shared" ref="F7:F17" si="2">G7/(1+C7+E7)*E7</f>
        <v>51146.4850909091</v>
      </c>
      <c r="G7" s="14">
        <v>703264.17</v>
      </c>
      <c r="H7" s="6">
        <v>43549</v>
      </c>
      <c r="I7" s="8">
        <v>703264.17</v>
      </c>
      <c r="J7" s="26" t="s">
        <v>23</v>
      </c>
      <c r="N7" s="50">
        <f>D2*0.016</f>
        <v>105862.03184</v>
      </c>
    </row>
    <row r="8" ht="18" customHeight="1" spans="1:10">
      <c r="A8" s="6">
        <v>43577</v>
      </c>
      <c r="B8" s="8">
        <f t="shared" si="0"/>
        <v>1565826.88073394</v>
      </c>
      <c r="C8" s="62">
        <v>0.02</v>
      </c>
      <c r="D8" s="93">
        <f t="shared" si="1"/>
        <v>31316.5376146789</v>
      </c>
      <c r="E8" s="62">
        <v>0.07</v>
      </c>
      <c r="F8" s="8">
        <f t="shared" si="2"/>
        <v>109607.881651376</v>
      </c>
      <c r="G8" s="14">
        <v>1706751.3</v>
      </c>
      <c r="H8" s="6">
        <v>43590</v>
      </c>
      <c r="I8" s="8">
        <v>1706751.3</v>
      </c>
      <c r="J8" s="26" t="s">
        <v>23</v>
      </c>
    </row>
    <row r="9" ht="18" customHeight="1" spans="1:14">
      <c r="A9" s="6">
        <v>43635</v>
      </c>
      <c r="B9" s="8">
        <f t="shared" si="0"/>
        <v>2394819.97247706</v>
      </c>
      <c r="C9" s="62">
        <v>0.02</v>
      </c>
      <c r="D9" s="93">
        <f t="shared" si="1"/>
        <v>47896.3994495413</v>
      </c>
      <c r="E9" s="62">
        <v>0.07</v>
      </c>
      <c r="F9" s="8">
        <f t="shared" si="2"/>
        <v>167637.398073394</v>
      </c>
      <c r="G9" s="14">
        <v>2610353.77</v>
      </c>
      <c r="H9" s="6">
        <v>43642</v>
      </c>
      <c r="I9" s="8">
        <v>780000</v>
      </c>
      <c r="J9" s="26" t="s">
        <v>23</v>
      </c>
      <c r="N9" s="50">
        <f>D3*0.016</f>
        <v>96536.31616</v>
      </c>
    </row>
    <row r="10" ht="18" customHeight="1" spans="1:10">
      <c r="A10" s="6">
        <v>43942</v>
      </c>
      <c r="B10" s="8">
        <f t="shared" si="0"/>
        <v>763435.71559633</v>
      </c>
      <c r="C10" s="62">
        <v>0.02</v>
      </c>
      <c r="D10" s="93">
        <f t="shared" si="1"/>
        <v>15268.7143119266</v>
      </c>
      <c r="E10" s="62">
        <v>0.07</v>
      </c>
      <c r="F10" s="8">
        <f t="shared" si="2"/>
        <v>53440.5000917431</v>
      </c>
      <c r="G10" s="14">
        <v>832144.93</v>
      </c>
      <c r="H10" s="6">
        <v>43642</v>
      </c>
      <c r="I10" s="8">
        <v>800000</v>
      </c>
      <c r="J10" s="26" t="s">
        <v>23</v>
      </c>
    </row>
    <row r="11" ht="18" customHeight="1" spans="1:10">
      <c r="A11" s="6">
        <v>45064</v>
      </c>
      <c r="B11" s="8">
        <f t="shared" si="0"/>
        <v>166060.174311927</v>
      </c>
      <c r="C11" s="62">
        <v>0.02</v>
      </c>
      <c r="D11" s="93">
        <f t="shared" si="1"/>
        <v>3321.20348623853</v>
      </c>
      <c r="E11" s="62">
        <v>0.07</v>
      </c>
      <c r="F11" s="8">
        <f t="shared" si="2"/>
        <v>11624.2122018349</v>
      </c>
      <c r="G11" s="14">
        <v>181005.59</v>
      </c>
      <c r="H11" s="6">
        <v>43642</v>
      </c>
      <c r="I11" s="8">
        <v>1030353.77</v>
      </c>
      <c r="J11" s="26" t="s">
        <v>23</v>
      </c>
    </row>
    <row r="12" ht="18" customHeight="1" spans="1:10">
      <c r="A12" s="6"/>
      <c r="B12" s="8">
        <f t="shared" si="0"/>
        <v>0</v>
      </c>
      <c r="C12" s="62">
        <v>0.02</v>
      </c>
      <c r="D12" s="93">
        <f t="shared" si="1"/>
        <v>0</v>
      </c>
      <c r="E12" s="62">
        <v>0.07</v>
      </c>
      <c r="F12" s="8">
        <f t="shared" si="2"/>
        <v>0</v>
      </c>
      <c r="G12" s="14"/>
      <c r="H12" s="6">
        <v>44005</v>
      </c>
      <c r="I12" s="8">
        <v>832144.93</v>
      </c>
      <c r="J12" s="26" t="s">
        <v>24</v>
      </c>
    </row>
    <row r="13" ht="18" customHeight="1" spans="1:10">
      <c r="A13" s="6"/>
      <c r="B13" s="8">
        <f t="shared" si="0"/>
        <v>0</v>
      </c>
      <c r="C13" s="62">
        <v>0.02</v>
      </c>
      <c r="D13" s="93">
        <f t="shared" si="1"/>
        <v>0</v>
      </c>
      <c r="E13" s="62">
        <v>0.07</v>
      </c>
      <c r="F13" s="8">
        <f t="shared" si="2"/>
        <v>0</v>
      </c>
      <c r="G13" s="14"/>
      <c r="H13" s="6">
        <v>45071</v>
      </c>
      <c r="I13" s="8">
        <v>181005.59</v>
      </c>
      <c r="J13" s="26" t="s">
        <v>23</v>
      </c>
    </row>
    <row r="14" ht="18" customHeight="1" spans="1:10">
      <c r="A14" s="6"/>
      <c r="B14" s="8">
        <f t="shared" si="0"/>
        <v>0</v>
      </c>
      <c r="C14" s="62">
        <v>0.02</v>
      </c>
      <c r="D14" s="93">
        <f t="shared" si="1"/>
        <v>0</v>
      </c>
      <c r="E14" s="62">
        <v>0.07</v>
      </c>
      <c r="F14" s="8">
        <f t="shared" si="2"/>
        <v>0</v>
      </c>
      <c r="G14" s="14"/>
      <c r="H14" s="6"/>
      <c r="I14" s="8"/>
      <c r="J14" s="26"/>
    </row>
    <row r="15" ht="18" customHeight="1" spans="1:10">
      <c r="A15" s="6"/>
      <c r="B15" s="8">
        <f t="shared" si="0"/>
        <v>0</v>
      </c>
      <c r="C15" s="62">
        <v>0.02</v>
      </c>
      <c r="D15" s="93">
        <f t="shared" si="1"/>
        <v>0</v>
      </c>
      <c r="E15" s="62">
        <v>0.07</v>
      </c>
      <c r="F15" s="8">
        <f t="shared" si="2"/>
        <v>0</v>
      </c>
      <c r="G15" s="14"/>
      <c r="H15" s="6"/>
      <c r="I15" s="8"/>
      <c r="J15" s="26"/>
    </row>
    <row r="16" ht="18" customHeight="1" spans="1:10">
      <c r="A16" s="6"/>
      <c r="B16" s="8">
        <f t="shared" si="0"/>
        <v>0</v>
      </c>
      <c r="C16" s="62">
        <v>0.02</v>
      </c>
      <c r="D16" s="93">
        <f t="shared" si="1"/>
        <v>0</v>
      </c>
      <c r="E16" s="62">
        <v>0.07</v>
      </c>
      <c r="F16" s="8">
        <f t="shared" si="2"/>
        <v>0</v>
      </c>
      <c r="G16" s="14"/>
      <c r="H16" s="6"/>
      <c r="I16" s="8"/>
      <c r="J16" s="26"/>
    </row>
    <row r="17" ht="18" customHeight="1" spans="1:10">
      <c r="A17" s="6"/>
      <c r="B17" s="8">
        <f t="shared" si="0"/>
        <v>0</v>
      </c>
      <c r="C17" s="62">
        <v>0.02</v>
      </c>
      <c r="D17" s="93">
        <f t="shared" si="1"/>
        <v>0</v>
      </c>
      <c r="E17" s="62">
        <v>0.08</v>
      </c>
      <c r="F17" s="8">
        <f t="shared" si="2"/>
        <v>0</v>
      </c>
      <c r="G17" s="14"/>
      <c r="H17" s="6"/>
      <c r="I17" s="8"/>
      <c r="J17" s="26"/>
    </row>
    <row r="18" ht="18" customHeight="1" spans="1:10">
      <c r="A18" s="65" t="s">
        <v>25</v>
      </c>
      <c r="B18" s="94">
        <f t="shared" ref="B18:G18" si="3">SUM(B7:B17)</f>
        <v>5529473.80675563</v>
      </c>
      <c r="C18" s="67"/>
      <c r="D18" s="67">
        <f t="shared" si="3"/>
        <v>110589.476135113</v>
      </c>
      <c r="E18" s="67"/>
      <c r="F18" s="95">
        <f t="shared" si="3"/>
        <v>393456.477109258</v>
      </c>
      <c r="G18" s="67">
        <f t="shared" si="3"/>
        <v>6033519.76</v>
      </c>
      <c r="H18" s="28"/>
      <c r="I18" s="67">
        <f>SUM(I7:I17)</f>
        <v>6033519.76</v>
      </c>
      <c r="J18" s="28"/>
    </row>
    <row r="19" ht="18" customHeight="1" spans="1:12">
      <c r="A19" s="46" t="s">
        <v>26</v>
      </c>
      <c r="G19" s="47">
        <f>D3-G18</f>
        <v>0</v>
      </c>
      <c r="I19" s="47">
        <f>G18-I18</f>
        <v>0</v>
      </c>
      <c r="J19" s="48"/>
      <c r="K19" s="48"/>
      <c r="L19" s="49"/>
    </row>
    <row r="20" ht="18" customHeight="1" spans="1:15">
      <c r="A20" s="1" t="s">
        <v>27</v>
      </c>
      <c r="B20" s="2" t="s">
        <v>28</v>
      </c>
      <c r="C20" s="3" t="s">
        <v>29</v>
      </c>
      <c r="D20" s="3" t="s">
        <v>30</v>
      </c>
      <c r="E20" s="3" t="s">
        <v>17</v>
      </c>
      <c r="F20" s="2" t="s">
        <v>31</v>
      </c>
      <c r="G20" s="2" t="s">
        <v>15</v>
      </c>
      <c r="H20" s="3" t="s">
        <v>32</v>
      </c>
      <c r="I20" s="2" t="s">
        <v>33</v>
      </c>
      <c r="J20" s="3" t="s">
        <v>21</v>
      </c>
      <c r="K20" s="24" t="s">
        <v>34</v>
      </c>
      <c r="L20" s="25" t="s">
        <v>35</v>
      </c>
      <c r="M20" s="25" t="s">
        <v>36</v>
      </c>
      <c r="N20" s="25" t="s">
        <v>37</v>
      </c>
      <c r="O20" s="25" t="s">
        <v>38</v>
      </c>
    </row>
    <row r="21" ht="18" customHeight="1" spans="1:15">
      <c r="A21" s="1"/>
      <c r="B21" s="3"/>
      <c r="C21" s="3"/>
      <c r="D21" s="3"/>
      <c r="E21" s="4"/>
      <c r="F21" s="3"/>
      <c r="G21" s="5"/>
      <c r="H21" s="6" t="s">
        <v>39</v>
      </c>
      <c r="I21" s="8">
        <v>-300000</v>
      </c>
      <c r="J21" s="26" t="s">
        <v>40</v>
      </c>
      <c r="K21" s="27" t="s">
        <v>41</v>
      </c>
      <c r="L21" s="25"/>
      <c r="M21" s="25"/>
      <c r="N21" s="25"/>
      <c r="O21" s="25"/>
    </row>
    <row r="22" ht="18" customHeight="1" spans="1:15">
      <c r="A22" s="1"/>
      <c r="B22" s="3"/>
      <c r="C22" s="3"/>
      <c r="D22" s="3"/>
      <c r="E22" s="4"/>
      <c r="F22" s="3"/>
      <c r="G22" s="5"/>
      <c r="H22" s="6" t="s">
        <v>39</v>
      </c>
      <c r="I22" s="8">
        <v>300000</v>
      </c>
      <c r="J22" s="26" t="s">
        <v>23</v>
      </c>
      <c r="K22" s="27" t="s">
        <v>42</v>
      </c>
      <c r="L22" s="25"/>
      <c r="M22" s="25"/>
      <c r="N22" s="25"/>
      <c r="O22" s="25"/>
    </row>
    <row r="23" ht="18" customHeight="1" spans="1:15">
      <c r="A23" s="1"/>
      <c r="B23" s="3"/>
      <c r="C23" s="3"/>
      <c r="D23" s="3"/>
      <c r="E23" s="4"/>
      <c r="F23" s="3"/>
      <c r="G23" s="5"/>
      <c r="H23" s="6" t="s">
        <v>43</v>
      </c>
      <c r="I23" s="8">
        <v>-6000</v>
      </c>
      <c r="J23" s="26" t="s">
        <v>40</v>
      </c>
      <c r="K23" s="27" t="s">
        <v>41</v>
      </c>
      <c r="L23" s="25"/>
      <c r="M23" s="25"/>
      <c r="N23" s="25"/>
      <c r="O23" s="25"/>
    </row>
    <row r="24" ht="18" customHeight="1" spans="1:15">
      <c r="A24" s="1"/>
      <c r="B24" s="3"/>
      <c r="C24" s="3"/>
      <c r="D24" s="3"/>
      <c r="E24" s="4"/>
      <c r="F24" s="3"/>
      <c r="G24" s="5"/>
      <c r="H24" s="6" t="s">
        <v>43</v>
      </c>
      <c r="I24" s="8">
        <v>6000</v>
      </c>
      <c r="J24" s="26" t="s">
        <v>23</v>
      </c>
      <c r="K24" s="27" t="s">
        <v>44</v>
      </c>
      <c r="L24" s="25"/>
      <c r="M24" s="25"/>
      <c r="N24" s="25"/>
      <c r="O24" s="25"/>
    </row>
    <row r="25" ht="18" customHeight="1" spans="1:15">
      <c r="A25" s="7">
        <v>43525</v>
      </c>
      <c r="B25" s="8">
        <f t="shared" ref="B25:B46" si="4">ROUND(G25/(1+E25),2)</f>
        <v>22117.92</v>
      </c>
      <c r="C25" s="9"/>
      <c r="D25" s="10" t="s">
        <v>45</v>
      </c>
      <c r="E25" s="4">
        <v>0.06</v>
      </c>
      <c r="F25" s="8">
        <f t="shared" ref="F25:F46" si="5">ROUND(G25/(1+E25)*E25,2)</f>
        <v>1327.08</v>
      </c>
      <c r="G25" s="5">
        <v>23445</v>
      </c>
      <c r="H25" s="6"/>
      <c r="I25" s="8"/>
      <c r="J25" s="26"/>
      <c r="K25" s="27" t="s">
        <v>46</v>
      </c>
      <c r="L25" s="28" t="s">
        <v>47</v>
      </c>
      <c r="M25" s="26"/>
      <c r="N25" s="26"/>
      <c r="O25" s="28"/>
    </row>
    <row r="26" ht="18" customHeight="1" spans="1:15">
      <c r="A26" s="7">
        <v>43525</v>
      </c>
      <c r="B26" s="8">
        <f t="shared" si="4"/>
        <v>260</v>
      </c>
      <c r="C26" s="9"/>
      <c r="D26" s="10" t="s">
        <v>48</v>
      </c>
      <c r="E26" s="4"/>
      <c r="F26" s="8">
        <f t="shared" si="5"/>
        <v>0</v>
      </c>
      <c r="G26" s="5">
        <f>200+60</f>
        <v>260</v>
      </c>
      <c r="H26" s="6"/>
      <c r="I26" s="8"/>
      <c r="J26" s="26"/>
      <c r="K26" s="27" t="s">
        <v>49</v>
      </c>
      <c r="L26" s="28" t="s">
        <v>50</v>
      </c>
      <c r="M26" s="26"/>
      <c r="N26" s="26"/>
      <c r="O26" s="28"/>
    </row>
    <row r="27" ht="18" customHeight="1" spans="1:15">
      <c r="A27" s="7">
        <v>43525</v>
      </c>
      <c r="B27" s="8">
        <f t="shared" si="4"/>
        <v>338371.93</v>
      </c>
      <c r="C27" s="9"/>
      <c r="D27" s="10" t="s">
        <v>45</v>
      </c>
      <c r="E27" s="4">
        <v>0.16</v>
      </c>
      <c r="F27" s="8">
        <f t="shared" si="5"/>
        <v>54139.51</v>
      </c>
      <c r="G27" s="5">
        <f>96255.72*2+100000*2</f>
        <v>392511.44</v>
      </c>
      <c r="H27" s="6">
        <v>43551</v>
      </c>
      <c r="I27" s="8">
        <f>96255.72*2+100000*2</f>
        <v>392511.44</v>
      </c>
      <c r="J27" s="26" t="s">
        <v>23</v>
      </c>
      <c r="K27" s="27" t="s">
        <v>51</v>
      </c>
      <c r="L27" s="28" t="s">
        <v>52</v>
      </c>
      <c r="M27" s="26" t="s">
        <v>53</v>
      </c>
      <c r="N27" s="26" t="s">
        <v>53</v>
      </c>
      <c r="O27" s="28"/>
    </row>
    <row r="28" ht="18" customHeight="1" spans="1:15">
      <c r="A28" s="7">
        <v>43525</v>
      </c>
      <c r="B28" s="8">
        <f t="shared" si="4"/>
        <v>12621.36</v>
      </c>
      <c r="C28" s="9"/>
      <c r="D28" s="10" t="s">
        <v>54</v>
      </c>
      <c r="E28" s="4">
        <v>0.03</v>
      </c>
      <c r="F28" s="8">
        <f t="shared" si="5"/>
        <v>378.64</v>
      </c>
      <c r="G28" s="5">
        <v>13000</v>
      </c>
      <c r="H28" s="6">
        <v>43557</v>
      </c>
      <c r="I28" s="8">
        <v>13000</v>
      </c>
      <c r="J28" s="26" t="s">
        <v>23</v>
      </c>
      <c r="K28" s="27" t="s">
        <v>55</v>
      </c>
      <c r="L28" s="28" t="s">
        <v>56</v>
      </c>
      <c r="M28" s="26" t="s">
        <v>53</v>
      </c>
      <c r="N28" s="26" t="s">
        <v>57</v>
      </c>
      <c r="O28" s="28"/>
    </row>
    <row r="29" ht="18" customHeight="1" spans="1:15">
      <c r="A29" s="7">
        <v>43525</v>
      </c>
      <c r="B29" s="8">
        <f t="shared" si="4"/>
        <v>13495.15</v>
      </c>
      <c r="C29" s="9"/>
      <c r="D29" s="10" t="s">
        <v>54</v>
      </c>
      <c r="E29" s="4">
        <v>0.03</v>
      </c>
      <c r="F29" s="8">
        <f t="shared" si="5"/>
        <v>404.85</v>
      </c>
      <c r="G29" s="5">
        <v>13900</v>
      </c>
      <c r="H29" s="6">
        <v>43557</v>
      </c>
      <c r="I29" s="8">
        <v>13900</v>
      </c>
      <c r="J29" s="26" t="s">
        <v>23</v>
      </c>
      <c r="K29" s="27" t="s">
        <v>58</v>
      </c>
      <c r="L29" s="28" t="s">
        <v>56</v>
      </c>
      <c r="M29" s="26" t="s">
        <v>53</v>
      </c>
      <c r="N29" s="26" t="s">
        <v>57</v>
      </c>
      <c r="O29" s="28"/>
    </row>
    <row r="30" s="44" customFormat="1" ht="18" customHeight="1" spans="1:15">
      <c r="A30" s="7">
        <v>43525</v>
      </c>
      <c r="B30" s="11">
        <f t="shared" si="4"/>
        <v>27980.58</v>
      </c>
      <c r="C30" s="12"/>
      <c r="D30" s="10" t="s">
        <v>54</v>
      </c>
      <c r="E30" s="13">
        <v>0.03</v>
      </c>
      <c r="F30" s="11">
        <f t="shared" si="5"/>
        <v>839.42</v>
      </c>
      <c r="G30" s="14">
        <v>28820</v>
      </c>
      <c r="H30" s="6">
        <v>43557</v>
      </c>
      <c r="I30" s="8">
        <v>28820</v>
      </c>
      <c r="J30" s="26" t="s">
        <v>23</v>
      </c>
      <c r="K30" s="29" t="s">
        <v>59</v>
      </c>
      <c r="L30" s="30" t="s">
        <v>60</v>
      </c>
      <c r="M30" s="31" t="s">
        <v>53</v>
      </c>
      <c r="N30" s="31" t="s">
        <v>57</v>
      </c>
      <c r="O30" s="30"/>
    </row>
    <row r="31" s="44" customFormat="1" ht="18" customHeight="1" spans="1:15">
      <c r="A31" s="7">
        <v>43525</v>
      </c>
      <c r="B31" s="11">
        <f t="shared" si="4"/>
        <v>210000</v>
      </c>
      <c r="C31" s="12"/>
      <c r="D31" s="10" t="s">
        <v>48</v>
      </c>
      <c r="E31" s="13"/>
      <c r="F31" s="11">
        <f t="shared" si="5"/>
        <v>0</v>
      </c>
      <c r="G31" s="14">
        <v>210000</v>
      </c>
      <c r="H31" s="6">
        <v>43557</v>
      </c>
      <c r="I31" s="8">
        <v>210000</v>
      </c>
      <c r="J31" s="26" t="s">
        <v>23</v>
      </c>
      <c r="K31" s="29" t="s">
        <v>61</v>
      </c>
      <c r="L31" s="30" t="s">
        <v>62</v>
      </c>
      <c r="M31" s="31" t="s">
        <v>53</v>
      </c>
      <c r="N31" s="31"/>
      <c r="O31" s="30"/>
    </row>
    <row r="32" s="44" customFormat="1" ht="18" customHeight="1" spans="1:15">
      <c r="A32" s="15"/>
      <c r="B32" s="11">
        <f t="shared" si="4"/>
        <v>0</v>
      </c>
      <c r="C32" s="12"/>
      <c r="D32" s="10"/>
      <c r="E32" s="13"/>
      <c r="F32" s="11">
        <f t="shared" si="5"/>
        <v>0</v>
      </c>
      <c r="G32" s="14"/>
      <c r="H32" s="6">
        <v>43557</v>
      </c>
      <c r="I32" s="8">
        <v>110839</v>
      </c>
      <c r="J32" s="26" t="s">
        <v>23</v>
      </c>
      <c r="K32" s="29" t="s">
        <v>63</v>
      </c>
      <c r="L32" s="30" t="s">
        <v>64</v>
      </c>
      <c r="M32" s="31"/>
      <c r="N32" s="31"/>
      <c r="O32" s="30"/>
    </row>
    <row r="33" s="44" customFormat="1" ht="18" customHeight="1" spans="1:15">
      <c r="A33" s="15"/>
      <c r="B33" s="11">
        <f t="shared" si="4"/>
        <v>0</v>
      </c>
      <c r="C33" s="12"/>
      <c r="D33" s="16"/>
      <c r="E33" s="13"/>
      <c r="F33" s="11">
        <f t="shared" si="5"/>
        <v>0</v>
      </c>
      <c r="G33" s="14"/>
      <c r="H33" s="6">
        <v>43557</v>
      </c>
      <c r="I33" s="8">
        <v>-110839</v>
      </c>
      <c r="J33" s="26" t="s">
        <v>40</v>
      </c>
      <c r="K33" s="29" t="s">
        <v>65</v>
      </c>
      <c r="L33" s="30"/>
      <c r="M33" s="31"/>
      <c r="N33" s="31"/>
      <c r="O33" s="30"/>
    </row>
    <row r="34" s="44" customFormat="1" ht="18" customHeight="1" spans="1:15">
      <c r="A34" s="7">
        <v>43556</v>
      </c>
      <c r="B34" s="11">
        <f t="shared" si="4"/>
        <v>141450.44</v>
      </c>
      <c r="C34" s="12"/>
      <c r="D34" s="16" t="s">
        <v>45</v>
      </c>
      <c r="E34" s="13">
        <v>0.13</v>
      </c>
      <c r="F34" s="11">
        <f t="shared" si="5"/>
        <v>18388.56</v>
      </c>
      <c r="G34" s="14">
        <f>68399+91440</f>
        <v>159839</v>
      </c>
      <c r="H34" s="6">
        <v>43558</v>
      </c>
      <c r="I34" s="8">
        <v>49000</v>
      </c>
      <c r="J34" s="26" t="s">
        <v>23</v>
      </c>
      <c r="K34" s="29" t="s">
        <v>63</v>
      </c>
      <c r="L34" s="30" t="s">
        <v>64</v>
      </c>
      <c r="M34" s="31"/>
      <c r="N34" s="31" t="s">
        <v>53</v>
      </c>
      <c r="O34" s="30"/>
    </row>
    <row r="35" s="44" customFormat="1" ht="18" customHeight="1" spans="1:15">
      <c r="A35" s="15"/>
      <c r="B35" s="11">
        <f t="shared" si="4"/>
        <v>0</v>
      </c>
      <c r="C35" s="12"/>
      <c r="D35" s="16"/>
      <c r="E35" s="13"/>
      <c r="F35" s="11">
        <f t="shared" si="5"/>
        <v>0</v>
      </c>
      <c r="G35" s="14"/>
      <c r="H35" s="6">
        <v>43558</v>
      </c>
      <c r="I35" s="8">
        <v>-49000</v>
      </c>
      <c r="J35" s="26" t="s">
        <v>40</v>
      </c>
      <c r="K35" s="29" t="s">
        <v>65</v>
      </c>
      <c r="L35" s="30"/>
      <c r="M35" s="31"/>
      <c r="N35" s="31"/>
      <c r="O35" s="30"/>
    </row>
    <row r="36" s="44" customFormat="1" ht="18" customHeight="1" spans="1:15">
      <c r="A36" s="15">
        <v>43556</v>
      </c>
      <c r="B36" s="11">
        <f t="shared" si="4"/>
        <v>619469.03</v>
      </c>
      <c r="C36" s="12"/>
      <c r="D36" s="16" t="s">
        <v>45</v>
      </c>
      <c r="E36" s="13">
        <v>0.13</v>
      </c>
      <c r="F36" s="11">
        <f t="shared" si="5"/>
        <v>80530.97</v>
      </c>
      <c r="G36" s="14">
        <f>100000*7</f>
        <v>700000</v>
      </c>
      <c r="H36" s="6">
        <v>43592</v>
      </c>
      <c r="I36" s="8">
        <v>700000</v>
      </c>
      <c r="J36" s="26" t="s">
        <v>23</v>
      </c>
      <c r="K36" s="27" t="s">
        <v>51</v>
      </c>
      <c r="L36" s="30" t="s">
        <v>66</v>
      </c>
      <c r="M36" s="31" t="s">
        <v>53</v>
      </c>
      <c r="N36" s="31" t="s">
        <v>67</v>
      </c>
      <c r="O36" s="30"/>
    </row>
    <row r="37" s="44" customFormat="1" ht="18" customHeight="1" spans="1:15">
      <c r="A37" s="15">
        <v>43558</v>
      </c>
      <c r="B37" s="11">
        <f t="shared" si="4"/>
        <v>18803.88</v>
      </c>
      <c r="C37" s="12"/>
      <c r="D37" s="16" t="s">
        <v>45</v>
      </c>
      <c r="E37" s="13">
        <v>0.03</v>
      </c>
      <c r="F37" s="11">
        <f t="shared" si="5"/>
        <v>564.12</v>
      </c>
      <c r="G37" s="14">
        <f>6000+6000+7368</f>
        <v>19368</v>
      </c>
      <c r="H37" s="6">
        <v>43592</v>
      </c>
      <c r="I37" s="8">
        <v>13368</v>
      </c>
      <c r="J37" s="26" t="s">
        <v>23</v>
      </c>
      <c r="K37" s="27" t="s">
        <v>44</v>
      </c>
      <c r="L37" s="28" t="s">
        <v>68</v>
      </c>
      <c r="M37" s="31" t="s">
        <v>53</v>
      </c>
      <c r="N37" s="31"/>
      <c r="O37" s="30"/>
    </row>
    <row r="38" s="44" customFormat="1" ht="18" customHeight="1" spans="1:15">
      <c r="A38" s="15">
        <v>43556</v>
      </c>
      <c r="B38" s="11">
        <f t="shared" si="4"/>
        <v>500000</v>
      </c>
      <c r="C38" s="12"/>
      <c r="D38" s="16" t="s">
        <v>48</v>
      </c>
      <c r="E38" s="13"/>
      <c r="F38" s="11">
        <f t="shared" si="5"/>
        <v>0</v>
      </c>
      <c r="G38" s="14">
        <v>500000</v>
      </c>
      <c r="H38" s="6">
        <v>43592</v>
      </c>
      <c r="I38" s="8">
        <v>411640.75</v>
      </c>
      <c r="J38" s="26" t="s">
        <v>23</v>
      </c>
      <c r="K38" s="27" t="s">
        <v>69</v>
      </c>
      <c r="L38" s="28" t="s">
        <v>70</v>
      </c>
      <c r="M38" s="31" t="s">
        <v>53</v>
      </c>
      <c r="N38" s="31"/>
      <c r="O38" s="30"/>
    </row>
    <row r="39" s="44" customFormat="1" ht="18" customHeight="1" spans="1:15">
      <c r="A39" s="15">
        <v>43556</v>
      </c>
      <c r="B39" s="11">
        <f t="shared" si="4"/>
        <v>485172.73</v>
      </c>
      <c r="C39" s="12"/>
      <c r="D39" s="16" t="s">
        <v>45</v>
      </c>
      <c r="E39" s="13">
        <v>0.1</v>
      </c>
      <c r="F39" s="11">
        <f t="shared" si="5"/>
        <v>48517.27</v>
      </c>
      <c r="G39" s="14">
        <v>533690</v>
      </c>
      <c r="H39" s="6">
        <v>43592</v>
      </c>
      <c r="I39" s="8">
        <v>533690</v>
      </c>
      <c r="J39" s="26" t="s">
        <v>23</v>
      </c>
      <c r="K39" s="27" t="s">
        <v>71</v>
      </c>
      <c r="L39" s="28" t="s">
        <v>72</v>
      </c>
      <c r="M39" s="31" t="s">
        <v>53</v>
      </c>
      <c r="N39" s="31" t="s">
        <v>73</v>
      </c>
      <c r="O39" s="30"/>
    </row>
    <row r="40" s="45" customFormat="1" ht="18" customHeight="1" spans="1:15">
      <c r="A40" s="17">
        <v>43617</v>
      </c>
      <c r="B40" s="18">
        <f t="shared" si="4"/>
        <v>840707.96</v>
      </c>
      <c r="C40" s="19"/>
      <c r="D40" s="20" t="s">
        <v>45</v>
      </c>
      <c r="E40" s="13">
        <v>0.13</v>
      </c>
      <c r="F40" s="18">
        <f t="shared" si="5"/>
        <v>109292.04</v>
      </c>
      <c r="G40" s="14">
        <v>950000</v>
      </c>
      <c r="H40" s="21">
        <v>43649</v>
      </c>
      <c r="I40" s="18">
        <v>919827.77</v>
      </c>
      <c r="J40" s="26" t="s">
        <v>23</v>
      </c>
      <c r="K40" s="32" t="s">
        <v>51</v>
      </c>
      <c r="L40" s="33" t="s">
        <v>74</v>
      </c>
      <c r="M40" s="31" t="s">
        <v>53</v>
      </c>
      <c r="N40" s="31" t="s">
        <v>53</v>
      </c>
      <c r="O40" s="33"/>
    </row>
    <row r="41" s="44" customFormat="1" ht="18" customHeight="1" spans="1:15">
      <c r="A41" s="15">
        <v>43617</v>
      </c>
      <c r="B41" s="11">
        <f t="shared" si="4"/>
        <v>733944.95</v>
      </c>
      <c r="C41" s="12"/>
      <c r="D41" s="16" t="s">
        <v>45</v>
      </c>
      <c r="E41" s="13">
        <v>0.09</v>
      </c>
      <c r="F41" s="11">
        <f t="shared" si="5"/>
        <v>66055.05</v>
      </c>
      <c r="G41" s="14">
        <f>37686.7+108901.9*7</f>
        <v>800000</v>
      </c>
      <c r="H41" s="6">
        <v>43644</v>
      </c>
      <c r="I41" s="8">
        <f>37686.7+108901.9*7</f>
        <v>800000</v>
      </c>
      <c r="J41" s="26" t="s">
        <v>23</v>
      </c>
      <c r="K41" s="27" t="s">
        <v>71</v>
      </c>
      <c r="L41" s="28" t="s">
        <v>72</v>
      </c>
      <c r="M41" s="31" t="s">
        <v>53</v>
      </c>
      <c r="N41" s="31" t="s">
        <v>53</v>
      </c>
      <c r="O41" s="30"/>
    </row>
    <row r="42" s="44" customFormat="1" ht="18" customHeight="1" spans="1:15">
      <c r="A42" s="15">
        <v>43617</v>
      </c>
      <c r="B42" s="11">
        <f t="shared" si="4"/>
        <v>800000</v>
      </c>
      <c r="C42" s="12"/>
      <c r="D42" s="16" t="s">
        <v>48</v>
      </c>
      <c r="E42" s="13"/>
      <c r="F42" s="11">
        <f t="shared" si="5"/>
        <v>0</v>
      </c>
      <c r="G42" s="14">
        <v>800000</v>
      </c>
      <c r="H42" s="6">
        <v>43644</v>
      </c>
      <c r="I42" s="8">
        <v>800000</v>
      </c>
      <c r="J42" s="26" t="s">
        <v>23</v>
      </c>
      <c r="K42" s="27" t="s">
        <v>69</v>
      </c>
      <c r="L42" s="28" t="s">
        <v>70</v>
      </c>
      <c r="M42" s="31"/>
      <c r="N42" s="31"/>
      <c r="O42" s="30"/>
    </row>
    <row r="43" s="44" customFormat="1" ht="18" customHeight="1" spans="1:15">
      <c r="A43" s="15">
        <v>43770</v>
      </c>
      <c r="B43" s="11">
        <f t="shared" si="4"/>
        <v>45631.07</v>
      </c>
      <c r="C43" s="12"/>
      <c r="D43" s="16" t="s">
        <v>45</v>
      </c>
      <c r="E43" s="22">
        <v>0.03</v>
      </c>
      <c r="F43" s="11">
        <f t="shared" si="5"/>
        <v>1368.93</v>
      </c>
      <c r="G43" s="14">
        <v>47000</v>
      </c>
      <c r="H43" s="6">
        <v>43686</v>
      </c>
      <c r="I43" s="8">
        <v>47000</v>
      </c>
      <c r="J43" s="26" t="s">
        <v>23</v>
      </c>
      <c r="K43" s="29" t="s">
        <v>44</v>
      </c>
      <c r="L43" s="28" t="s">
        <v>75</v>
      </c>
      <c r="M43" s="31" t="s">
        <v>53</v>
      </c>
      <c r="N43" s="31"/>
      <c r="O43" s="30"/>
    </row>
    <row r="44" s="44" customFormat="1" ht="18" customHeight="1" spans="1:15">
      <c r="A44" s="15"/>
      <c r="B44" s="11">
        <f t="shared" si="4"/>
        <v>0</v>
      </c>
      <c r="C44" s="12"/>
      <c r="D44" s="16"/>
      <c r="E44" s="13"/>
      <c r="F44" s="11">
        <f t="shared" si="5"/>
        <v>0</v>
      </c>
      <c r="G44" s="14"/>
      <c r="H44" s="6">
        <v>43686</v>
      </c>
      <c r="I44" s="8">
        <v>-47000</v>
      </c>
      <c r="J44" s="26" t="s">
        <v>40</v>
      </c>
      <c r="K44" s="29" t="s">
        <v>65</v>
      </c>
      <c r="L44" s="28"/>
      <c r="M44" s="31"/>
      <c r="N44" s="31"/>
      <c r="O44" s="30"/>
    </row>
    <row r="45" s="44" customFormat="1" ht="18" customHeight="1" spans="1:15">
      <c r="A45" s="15">
        <v>43770</v>
      </c>
      <c r="B45" s="11">
        <f t="shared" si="4"/>
        <v>129870.62</v>
      </c>
      <c r="C45" s="12"/>
      <c r="D45" s="16" t="s">
        <v>45</v>
      </c>
      <c r="E45" s="22">
        <v>0.13</v>
      </c>
      <c r="F45" s="11">
        <f t="shared" si="5"/>
        <v>16883.18</v>
      </c>
      <c r="G45" s="14">
        <v>146753.8</v>
      </c>
      <c r="H45" s="6"/>
      <c r="I45" s="8"/>
      <c r="J45" s="26"/>
      <c r="K45" s="27" t="s">
        <v>51</v>
      </c>
      <c r="L45" s="28" t="s">
        <v>76</v>
      </c>
      <c r="M45" s="31" t="s">
        <v>53</v>
      </c>
      <c r="N45" s="31"/>
      <c r="O45" s="30"/>
    </row>
    <row r="46" s="44" customFormat="1" ht="18" customHeight="1" spans="1:15">
      <c r="A46" s="15">
        <v>43770</v>
      </c>
      <c r="B46" s="11">
        <f t="shared" si="4"/>
        <v>231273.39</v>
      </c>
      <c r="C46" s="12"/>
      <c r="D46" s="20" t="s">
        <v>45</v>
      </c>
      <c r="E46" s="22">
        <v>0.09</v>
      </c>
      <c r="F46" s="11">
        <f t="shared" si="5"/>
        <v>20814.61</v>
      </c>
      <c r="G46" s="14">
        <v>252088</v>
      </c>
      <c r="H46" s="6"/>
      <c r="I46" s="8"/>
      <c r="J46" s="26"/>
      <c r="K46" s="27" t="s">
        <v>71</v>
      </c>
      <c r="L46" s="28" t="s">
        <v>72</v>
      </c>
      <c r="M46" s="31" t="s">
        <v>53</v>
      </c>
      <c r="N46" s="31"/>
      <c r="O46" s="30"/>
    </row>
    <row r="47" s="44" customFormat="1" ht="18" customHeight="1" spans="1:15">
      <c r="A47" s="15"/>
      <c r="B47" s="11">
        <f t="shared" ref="B47:B56" si="6">ROUND(G47/(1+E47),2)</f>
        <v>0</v>
      </c>
      <c r="C47" s="12"/>
      <c r="D47" s="16"/>
      <c r="E47" s="22"/>
      <c r="F47" s="11">
        <f t="shared" ref="F47:F55" si="7">ROUND(G47/(1+E47)*E47,2)</f>
        <v>0</v>
      </c>
      <c r="G47" s="14"/>
      <c r="H47" s="23">
        <v>44022</v>
      </c>
      <c r="I47" s="11">
        <v>252088</v>
      </c>
      <c r="J47" s="31"/>
      <c r="K47" s="29" t="s">
        <v>71</v>
      </c>
      <c r="L47" s="30" t="s">
        <v>77</v>
      </c>
      <c r="M47" s="31"/>
      <c r="N47" s="31"/>
      <c r="O47" s="30"/>
    </row>
    <row r="48" s="44" customFormat="1" ht="18" customHeight="1" spans="1:15">
      <c r="A48" s="15"/>
      <c r="B48" s="11">
        <f t="shared" si="6"/>
        <v>0</v>
      </c>
      <c r="C48" s="12"/>
      <c r="D48" s="16"/>
      <c r="E48" s="13"/>
      <c r="F48" s="11">
        <f t="shared" si="7"/>
        <v>0</v>
      </c>
      <c r="G48" s="14"/>
      <c r="H48" s="23">
        <v>44022</v>
      </c>
      <c r="I48" s="11">
        <v>176926.03</v>
      </c>
      <c r="J48" s="31"/>
      <c r="K48" s="29" t="s">
        <v>51</v>
      </c>
      <c r="L48" s="30" t="s">
        <v>78</v>
      </c>
      <c r="M48" s="31"/>
      <c r="N48" s="31"/>
      <c r="O48" s="30"/>
    </row>
    <row r="49" s="44" customFormat="1" ht="18" customHeight="1" spans="1:15">
      <c r="A49" s="15"/>
      <c r="B49" s="11">
        <f t="shared" si="6"/>
        <v>0</v>
      </c>
      <c r="C49" s="12"/>
      <c r="D49" s="16"/>
      <c r="E49" s="13"/>
      <c r="F49" s="11">
        <f t="shared" si="7"/>
        <v>0</v>
      </c>
      <c r="G49" s="14"/>
      <c r="H49" s="23">
        <v>44022</v>
      </c>
      <c r="I49" s="11">
        <v>88359.25</v>
      </c>
      <c r="J49" s="31"/>
      <c r="K49" s="29" t="s">
        <v>69</v>
      </c>
      <c r="L49" s="30" t="s">
        <v>79</v>
      </c>
      <c r="M49" s="31"/>
      <c r="N49" s="31"/>
      <c r="O49" s="30"/>
    </row>
    <row r="50" s="44" customFormat="1" ht="18" customHeight="1" spans="1:15">
      <c r="A50" s="15"/>
      <c r="B50" s="11">
        <f t="shared" si="6"/>
        <v>0</v>
      </c>
      <c r="C50" s="12"/>
      <c r="D50" s="20"/>
      <c r="E50" s="22"/>
      <c r="F50" s="11">
        <f t="shared" si="7"/>
        <v>0</v>
      </c>
      <c r="G50" s="14"/>
      <c r="H50" s="6"/>
      <c r="I50" s="8"/>
      <c r="J50" s="26"/>
      <c r="K50" s="27"/>
      <c r="L50" s="30"/>
      <c r="M50" s="31"/>
      <c r="N50" s="31"/>
      <c r="O50" s="30"/>
    </row>
    <row r="51" s="44" customFormat="1" ht="18" customHeight="1" spans="1:15">
      <c r="A51" s="15"/>
      <c r="B51" s="11">
        <f t="shared" si="6"/>
        <v>0</v>
      </c>
      <c r="C51" s="12"/>
      <c r="D51" s="16"/>
      <c r="E51" s="13"/>
      <c r="F51" s="11">
        <f t="shared" si="7"/>
        <v>0</v>
      </c>
      <c r="G51" s="14"/>
      <c r="H51" s="6"/>
      <c r="I51" s="8"/>
      <c r="J51" s="26"/>
      <c r="K51" s="27"/>
      <c r="L51" s="82"/>
      <c r="M51" s="31"/>
      <c r="N51" s="31"/>
      <c r="O51" s="30"/>
    </row>
    <row r="52" s="44" customFormat="1" ht="18" customHeight="1" spans="1:15">
      <c r="A52" s="15"/>
      <c r="B52" s="11">
        <f t="shared" si="6"/>
        <v>0</v>
      </c>
      <c r="C52" s="12"/>
      <c r="D52" s="16"/>
      <c r="E52" s="13"/>
      <c r="F52" s="11">
        <f t="shared" si="7"/>
        <v>0</v>
      </c>
      <c r="G52" s="14"/>
      <c r="H52" s="6"/>
      <c r="I52" s="96">
        <v>153.94</v>
      </c>
      <c r="J52" s="97" t="s">
        <v>80</v>
      </c>
      <c r="K52" s="83" t="s">
        <v>81</v>
      </c>
      <c r="L52" s="82" t="s">
        <v>82</v>
      </c>
      <c r="M52" s="31"/>
      <c r="N52" s="31"/>
      <c r="O52" s="30"/>
    </row>
    <row r="53" s="44" customFormat="1" ht="18" customHeight="1" spans="1:15">
      <c r="A53" s="15"/>
      <c r="B53" s="11">
        <f t="shared" si="6"/>
        <v>0</v>
      </c>
      <c r="C53" s="12"/>
      <c r="D53" s="16"/>
      <c r="E53" s="13"/>
      <c r="F53" s="11">
        <f t="shared" si="7"/>
        <v>0</v>
      </c>
      <c r="G53" s="14"/>
      <c r="H53" s="6" t="s">
        <v>83</v>
      </c>
      <c r="I53" s="8">
        <v>22935</v>
      </c>
      <c r="J53" s="26" t="s">
        <v>80</v>
      </c>
      <c r="K53" s="29" t="s">
        <v>84</v>
      </c>
      <c r="L53" s="82"/>
      <c r="M53" s="31"/>
      <c r="N53" s="31"/>
      <c r="O53" s="30"/>
    </row>
    <row r="54" s="44" customFormat="1" ht="18" customHeight="1" spans="1:15">
      <c r="A54" s="15"/>
      <c r="B54" s="11">
        <f t="shared" si="6"/>
        <v>0</v>
      </c>
      <c r="C54" s="12"/>
      <c r="D54" s="16"/>
      <c r="E54" s="13"/>
      <c r="F54" s="11">
        <f t="shared" si="7"/>
        <v>0</v>
      </c>
      <c r="G54" s="14"/>
      <c r="H54" s="6" t="s">
        <v>83</v>
      </c>
      <c r="I54" s="8">
        <v>400</v>
      </c>
      <c r="J54" s="26" t="s">
        <v>80</v>
      </c>
      <c r="K54" s="27" t="s">
        <v>85</v>
      </c>
      <c r="L54" s="82"/>
      <c r="M54" s="31"/>
      <c r="N54" s="31"/>
      <c r="O54" s="30"/>
    </row>
    <row r="55" s="44" customFormat="1" ht="18" customHeight="1" spans="1:15">
      <c r="A55" s="15"/>
      <c r="B55" s="11">
        <f t="shared" si="6"/>
        <v>0</v>
      </c>
      <c r="C55" s="12"/>
      <c r="D55" s="16"/>
      <c r="E55" s="13"/>
      <c r="F55" s="11">
        <f t="shared" si="7"/>
        <v>0</v>
      </c>
      <c r="G55" s="14"/>
      <c r="H55" s="6" t="s">
        <v>83</v>
      </c>
      <c r="I55" s="8">
        <v>500</v>
      </c>
      <c r="J55" s="26" t="s">
        <v>80</v>
      </c>
      <c r="K55" s="29" t="s">
        <v>86</v>
      </c>
      <c r="L55" s="82"/>
      <c r="M55" s="31"/>
      <c r="N55" s="31"/>
      <c r="O55" s="30"/>
    </row>
    <row r="56" s="44" customFormat="1" ht="18" customHeight="1" spans="1:15">
      <c r="A56" s="15"/>
      <c r="B56" s="11">
        <f t="shared" si="6"/>
        <v>20263</v>
      </c>
      <c r="C56" s="12"/>
      <c r="D56" s="16"/>
      <c r="E56" s="13"/>
      <c r="F56" s="11">
        <f t="shared" ref="F55:F63" si="8">ROUND(G56/(1+E56)*E56,2)</f>
        <v>0</v>
      </c>
      <c r="G56" s="14">
        <v>20263</v>
      </c>
      <c r="H56" s="6" t="s">
        <v>83</v>
      </c>
      <c r="I56" s="8">
        <v>20263</v>
      </c>
      <c r="J56" s="26" t="s">
        <v>80</v>
      </c>
      <c r="K56" s="86" t="s">
        <v>87</v>
      </c>
      <c r="L56" s="82"/>
      <c r="M56" s="31"/>
      <c r="N56" s="31"/>
      <c r="O56" s="30"/>
    </row>
    <row r="57" s="44" customFormat="1" ht="18" customHeight="1" spans="1:15">
      <c r="A57" s="15"/>
      <c r="B57" s="11">
        <f t="shared" ref="B55:B63" si="9">ROUND(G57/(1+E57),2)</f>
        <v>0</v>
      </c>
      <c r="C57" s="12"/>
      <c r="D57" s="16"/>
      <c r="E57" s="13"/>
      <c r="F57" s="11">
        <f t="shared" si="8"/>
        <v>0</v>
      </c>
      <c r="G57" s="14"/>
      <c r="H57" s="6" t="s">
        <v>88</v>
      </c>
      <c r="I57" s="8">
        <v>38318</v>
      </c>
      <c r="J57" s="26" t="s">
        <v>80</v>
      </c>
      <c r="K57" s="29" t="s">
        <v>89</v>
      </c>
      <c r="L57" s="84"/>
      <c r="M57" s="31"/>
      <c r="N57" s="31"/>
      <c r="O57" s="30"/>
    </row>
    <row r="58" s="44" customFormat="1" ht="18" customHeight="1" spans="1:15">
      <c r="A58" s="15"/>
      <c r="B58" s="11">
        <f t="shared" si="9"/>
        <v>0</v>
      </c>
      <c r="C58" s="12"/>
      <c r="D58" s="16"/>
      <c r="E58" s="13"/>
      <c r="F58" s="11">
        <f t="shared" si="8"/>
        <v>0</v>
      </c>
      <c r="G58" s="14"/>
      <c r="H58" s="6" t="s">
        <v>90</v>
      </c>
      <c r="I58" s="8">
        <v>4600</v>
      </c>
      <c r="J58" s="26" t="s">
        <v>80</v>
      </c>
      <c r="K58" s="27" t="s">
        <v>91</v>
      </c>
      <c r="L58" s="30"/>
      <c r="M58" s="31"/>
      <c r="N58" s="31"/>
      <c r="O58" s="30"/>
    </row>
    <row r="59" s="44" customFormat="1" ht="18" customHeight="1" spans="1:15">
      <c r="A59" s="15"/>
      <c r="B59" s="11">
        <f t="shared" si="9"/>
        <v>0</v>
      </c>
      <c r="C59" s="12"/>
      <c r="D59" s="16"/>
      <c r="E59" s="13"/>
      <c r="F59" s="11">
        <f t="shared" si="8"/>
        <v>0</v>
      </c>
      <c r="G59" s="14"/>
      <c r="H59" s="6" t="s">
        <v>90</v>
      </c>
      <c r="I59" s="8">
        <v>25054</v>
      </c>
      <c r="J59" s="26" t="s">
        <v>80</v>
      </c>
      <c r="K59" s="29" t="s">
        <v>89</v>
      </c>
      <c r="L59" s="30"/>
      <c r="M59" s="31"/>
      <c r="N59" s="31"/>
      <c r="O59" s="30"/>
    </row>
    <row r="60" s="44" customFormat="1" ht="18" customHeight="1" spans="1:15">
      <c r="A60" s="15"/>
      <c r="B60" s="11">
        <f t="shared" si="9"/>
        <v>0</v>
      </c>
      <c r="C60" s="12"/>
      <c r="D60" s="16"/>
      <c r="E60" s="13"/>
      <c r="F60" s="11">
        <f t="shared" si="8"/>
        <v>0</v>
      </c>
      <c r="G60" s="14"/>
      <c r="H60" s="6" t="s">
        <v>92</v>
      </c>
      <c r="I60" s="8">
        <v>5000</v>
      </c>
      <c r="J60" s="26" t="s">
        <v>80</v>
      </c>
      <c r="K60" s="29" t="s">
        <v>93</v>
      </c>
      <c r="L60" s="30"/>
      <c r="M60" s="31"/>
      <c r="N60" s="31"/>
      <c r="O60" s="30"/>
    </row>
    <row r="61" s="44" customFormat="1" ht="18" customHeight="1" spans="1:15">
      <c r="A61" s="15"/>
      <c r="B61" s="11">
        <f t="shared" si="9"/>
        <v>0</v>
      </c>
      <c r="C61" s="12"/>
      <c r="D61" s="16"/>
      <c r="E61" s="13"/>
      <c r="F61" s="11">
        <f t="shared" si="8"/>
        <v>0</v>
      </c>
      <c r="G61" s="14"/>
      <c r="H61" s="6"/>
      <c r="I61" s="8">
        <v>10230</v>
      </c>
      <c r="J61" s="26" t="s">
        <v>80</v>
      </c>
      <c r="K61" s="86" t="s">
        <v>89</v>
      </c>
      <c r="L61" s="30"/>
      <c r="M61" s="31"/>
      <c r="N61" s="31"/>
      <c r="O61" s="30"/>
    </row>
    <row r="62" s="44" customFormat="1" ht="18" customHeight="1" spans="1:15">
      <c r="A62" s="15"/>
      <c r="B62" s="11">
        <f t="shared" si="9"/>
        <v>100409.28</v>
      </c>
      <c r="C62" s="12"/>
      <c r="D62" s="16"/>
      <c r="E62" s="13"/>
      <c r="F62" s="11">
        <f t="shared" si="8"/>
        <v>0</v>
      </c>
      <c r="G62" s="14">
        <f>14065.28+34136+52208</f>
        <v>100409.28</v>
      </c>
      <c r="H62" s="6"/>
      <c r="I62" s="8">
        <f>G62</f>
        <v>100409.28</v>
      </c>
      <c r="J62" s="26" t="s">
        <v>80</v>
      </c>
      <c r="K62" s="86" t="s">
        <v>94</v>
      </c>
      <c r="L62" s="30"/>
      <c r="M62" s="31"/>
      <c r="N62" s="31"/>
      <c r="O62" s="30"/>
    </row>
    <row r="63" ht="18" customHeight="1" spans="1:15">
      <c r="A63" s="67" t="s">
        <v>25</v>
      </c>
      <c r="B63" s="94">
        <f t="shared" ref="B63:G63" si="10">SUM(B21:B62)</f>
        <v>5291843.29</v>
      </c>
      <c r="C63" s="67"/>
      <c r="D63" s="73"/>
      <c r="E63" s="73"/>
      <c r="F63" s="94">
        <f t="shared" si="10"/>
        <v>419504.23</v>
      </c>
      <c r="G63" s="94">
        <f t="shared" si="10"/>
        <v>5711347.52</v>
      </c>
      <c r="H63" s="74"/>
      <c r="I63" s="94">
        <f>SUM(I21:I62)</f>
        <v>5581994.46</v>
      </c>
      <c r="J63" s="87"/>
      <c r="K63" s="73"/>
      <c r="L63" s="28"/>
      <c r="M63" s="26"/>
      <c r="N63" s="26"/>
      <c r="O63" s="28"/>
    </row>
    <row r="64" ht="18" customHeight="1" spans="1:14">
      <c r="A64" s="75" t="s">
        <v>95</v>
      </c>
      <c r="B64" s="75">
        <f>B18*0.936</f>
        <v>5175587.48312327</v>
      </c>
      <c r="C64" s="75"/>
      <c r="D64" s="77"/>
      <c r="E64" s="77"/>
      <c r="F64" s="76"/>
      <c r="G64" s="75">
        <f>G18-G63</f>
        <v>322172.24</v>
      </c>
      <c r="H64" s="25" t="s">
        <v>96</v>
      </c>
      <c r="I64" s="67">
        <f>I18-I63</f>
        <v>451525.299999999</v>
      </c>
      <c r="J64" s="50"/>
      <c r="K64" s="75"/>
      <c r="M64" s="89"/>
      <c r="N64" s="89"/>
    </row>
    <row r="65" ht="18" customHeight="1" spans="1:14">
      <c r="A65" s="75" t="s">
        <v>97</v>
      </c>
      <c r="B65" s="75">
        <f>B64-B63</f>
        <v>-116255.806876731</v>
      </c>
      <c r="C65" s="75"/>
      <c r="D65" s="77"/>
      <c r="E65" s="77"/>
      <c r="F65" s="76"/>
      <c r="G65" s="76"/>
      <c r="H65" s="78"/>
      <c r="I65" s="76"/>
      <c r="J65" s="50"/>
      <c r="K65" s="75"/>
      <c r="M65" s="89"/>
      <c r="N65" s="89"/>
    </row>
    <row r="66" ht="18" customHeight="1" spans="1:14">
      <c r="A66" s="46" t="s">
        <v>98</v>
      </c>
      <c r="C66" s="46"/>
      <c r="N66" s="50">
        <f>I53+I57+I59+I61</f>
        <v>96537</v>
      </c>
    </row>
    <row r="67" ht="18" customHeight="1" spans="1:12">
      <c r="A67" s="25" t="s">
        <v>99</v>
      </c>
      <c r="B67" s="2" t="s">
        <v>100</v>
      </c>
      <c r="C67" s="28"/>
      <c r="D67" s="25" t="s">
        <v>99</v>
      </c>
      <c r="E67" s="3" t="s">
        <v>17</v>
      </c>
      <c r="F67" s="2" t="s">
        <v>100</v>
      </c>
      <c r="G67" s="2" t="s">
        <v>101</v>
      </c>
      <c r="H67" s="2" t="s">
        <v>102</v>
      </c>
      <c r="I67" s="2" t="s">
        <v>103</v>
      </c>
      <c r="K67" s="74" t="s">
        <v>104</v>
      </c>
      <c r="L67" s="74" t="s">
        <v>105</v>
      </c>
    </row>
    <row r="68" ht="18" customHeight="1" spans="1:12">
      <c r="A68" s="28" t="s">
        <v>106</v>
      </c>
      <c r="B68" s="59">
        <f>(B64-B63)*0.25</f>
        <v>-29063.9517191828</v>
      </c>
      <c r="C68" s="28"/>
      <c r="D68" s="65" t="s">
        <v>107</v>
      </c>
      <c r="E68" s="25" t="s">
        <v>108</v>
      </c>
      <c r="F68" s="69">
        <f>F18-F63</f>
        <v>-26047.7528907422</v>
      </c>
      <c r="G68" s="69">
        <v>0</v>
      </c>
      <c r="H68" s="69">
        <v>0</v>
      </c>
      <c r="I68" s="69">
        <v>0</v>
      </c>
      <c r="K68" s="95">
        <v>0</v>
      </c>
      <c r="L68" s="95">
        <v>0</v>
      </c>
    </row>
    <row r="69" ht="18" customHeight="1" spans="1:12">
      <c r="A69" s="28" t="s">
        <v>109</v>
      </c>
      <c r="B69" s="90" t="s">
        <v>110</v>
      </c>
      <c r="C69" s="28"/>
      <c r="D69" s="91" t="s">
        <v>111</v>
      </c>
      <c r="E69" s="56">
        <v>0.07</v>
      </c>
      <c r="F69" s="61">
        <f>F68*E69</f>
        <v>-1823.34270235195</v>
      </c>
      <c r="G69" s="61">
        <v>0</v>
      </c>
      <c r="H69" s="61">
        <v>0</v>
      </c>
      <c r="I69" s="61">
        <v>0</v>
      </c>
      <c r="K69" s="8">
        <f>K68*E69</f>
        <v>0</v>
      </c>
      <c r="L69" s="8"/>
    </row>
    <row r="70" ht="18" customHeight="1" spans="1:12">
      <c r="A70" s="28" t="s">
        <v>112</v>
      </c>
      <c r="B70" s="90" t="s">
        <v>110</v>
      </c>
      <c r="C70" s="28"/>
      <c r="D70" s="91" t="s">
        <v>113</v>
      </c>
      <c r="E70" s="56">
        <v>0.03</v>
      </c>
      <c r="F70" s="61">
        <f>F68*E70</f>
        <v>-781.432586722265</v>
      </c>
      <c r="G70" s="61">
        <v>0</v>
      </c>
      <c r="H70" s="61">
        <v>0</v>
      </c>
      <c r="I70" s="61">
        <v>0</v>
      </c>
      <c r="K70" s="8">
        <f>K68*E70</f>
        <v>0</v>
      </c>
      <c r="L70" s="8"/>
    </row>
    <row r="71" ht="18" customHeight="1" spans="1:12">
      <c r="A71" s="28"/>
      <c r="B71" s="61"/>
      <c r="C71" s="28"/>
      <c r="D71" s="91" t="s">
        <v>114</v>
      </c>
      <c r="E71" s="56">
        <v>0.02</v>
      </c>
      <c r="F71" s="61">
        <f>F68*E71</f>
        <v>-520.955057814843</v>
      </c>
      <c r="G71" s="61">
        <v>0</v>
      </c>
      <c r="H71" s="61">
        <v>0</v>
      </c>
      <c r="I71" s="61">
        <v>0</v>
      </c>
      <c r="K71" s="8">
        <f>K68*E71</f>
        <v>0</v>
      </c>
      <c r="L71" s="8"/>
    </row>
    <row r="72" ht="18" customHeight="1" spans="1:12">
      <c r="A72" s="65" t="s">
        <v>115</v>
      </c>
      <c r="B72" s="66">
        <f>SUM(B68:B71)</f>
        <v>-29063.9517191828</v>
      </c>
      <c r="C72" s="28"/>
      <c r="D72" s="1" t="s">
        <v>115</v>
      </c>
      <c r="E72" s="65"/>
      <c r="F72" s="69">
        <f>SUM(F68:F71)</f>
        <v>-29173.4832376312</v>
      </c>
      <c r="G72" s="69">
        <v>0</v>
      </c>
      <c r="H72" s="69">
        <v>0</v>
      </c>
      <c r="I72" s="69">
        <v>0</v>
      </c>
      <c r="K72" s="95">
        <f>SUM(K68:K71)</f>
        <v>0</v>
      </c>
      <c r="L72" s="95"/>
    </row>
    <row r="73" ht="18" customHeight="1" spans="3:12">
      <c r="C73" s="46"/>
      <c r="D73" s="3" t="s">
        <v>25</v>
      </c>
      <c r="E73" s="67"/>
      <c r="F73" s="68">
        <f>F72</f>
        <v>-29173.4832376312</v>
      </c>
      <c r="G73" s="68">
        <v>0</v>
      </c>
      <c r="H73" s="68">
        <v>0</v>
      </c>
      <c r="I73" s="98">
        <v>0</v>
      </c>
      <c r="J73" s="50"/>
      <c r="K73" s="67">
        <f>K72</f>
        <v>0</v>
      </c>
      <c r="L73" s="67"/>
    </row>
    <row r="74" ht="18" customHeight="1" spans="3:12">
      <c r="C74" s="46"/>
      <c r="D74" s="67" t="s">
        <v>106</v>
      </c>
      <c r="E74" s="73">
        <v>0.016</v>
      </c>
      <c r="F74" s="68">
        <f>B18*E74</f>
        <v>88471.5809080901</v>
      </c>
      <c r="G74" s="68">
        <f>B7*E74</f>
        <v>10229.2970181818</v>
      </c>
      <c r="H74" s="68">
        <f>B8*E74</f>
        <v>25053.2300917431</v>
      </c>
      <c r="I74" s="98">
        <f>B9*E74</f>
        <v>38317.119559633</v>
      </c>
      <c r="J74" s="50"/>
      <c r="K74" s="67">
        <f>G10*E74</f>
        <v>13314.31888</v>
      </c>
      <c r="L74" s="67">
        <f>D3*0.016-G74-H74-I74-K74</f>
        <v>9622.35061044204</v>
      </c>
    </row>
    <row r="75" ht="18" customHeight="1" spans="3:3">
      <c r="C75" s="46"/>
    </row>
    <row r="76" ht="18" customHeight="1" spans="3:3">
      <c r="C76" s="46"/>
    </row>
    <row r="77" ht="18" customHeight="1" spans="3:3">
      <c r="C77" s="46"/>
    </row>
    <row r="78" spans="3:3">
      <c r="C78" s="46"/>
    </row>
    <row r="79" spans="3:3">
      <c r="C79" s="46"/>
    </row>
    <row r="80" spans="3:3">
      <c r="C80" s="46"/>
    </row>
    <row r="81" spans="3:3">
      <c r="C81" s="46"/>
    </row>
    <row r="82" spans="3:3">
      <c r="C82" s="46"/>
    </row>
    <row r="83" spans="3:3">
      <c r="C83" s="46"/>
    </row>
    <row r="84" spans="3:3">
      <c r="C84" s="46"/>
    </row>
    <row r="85" spans="3:3">
      <c r="C85" s="46"/>
    </row>
    <row r="86" spans="3:3">
      <c r="C86" s="46"/>
    </row>
    <row r="87" spans="3:3">
      <c r="C87" s="46"/>
    </row>
    <row r="88" spans="3:3">
      <c r="C88" s="46"/>
    </row>
    <row r="89" spans="3:3">
      <c r="C89" s="46"/>
    </row>
    <row r="90" spans="3:3">
      <c r="C90" s="46"/>
    </row>
    <row r="91" spans="3:3">
      <c r="C91" s="46"/>
    </row>
    <row r="92" spans="3:3">
      <c r="C92" s="46"/>
    </row>
    <row r="93" spans="3:3">
      <c r="C93" s="46"/>
    </row>
  </sheetData>
  <autoFilter ref="A20:O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opLeftCell="A46" workbookViewId="0">
      <selection activeCell="M52" sqref="M52"/>
    </sheetView>
  </sheetViews>
  <sheetFormatPr defaultColWidth="9" defaultRowHeight="11.25"/>
  <cols>
    <col min="1" max="1" width="10.75" style="46" customWidth="1"/>
    <col min="2" max="2" width="13.125" style="47" customWidth="1"/>
    <col min="3" max="3" width="6" style="48" customWidth="1"/>
    <col min="4" max="4" width="13.375" style="48" customWidth="1"/>
    <col min="5" max="5" width="6" style="48" customWidth="1"/>
    <col min="6" max="6" width="13.125" style="47" customWidth="1"/>
    <col min="7" max="7" width="14.125" style="47" customWidth="1"/>
    <col min="8" max="8" width="12.125" style="48" customWidth="1"/>
    <col min="9" max="9" width="15.75" style="47" customWidth="1"/>
    <col min="10" max="10" width="6.125" style="49" customWidth="1"/>
    <col min="11" max="11" width="31.5" style="50" customWidth="1"/>
    <col min="12" max="12" width="12.75" style="50" customWidth="1"/>
    <col min="13" max="13" width="6" style="50" customWidth="1"/>
    <col min="14" max="14" width="5.625" style="50" customWidth="1"/>
    <col min="15" max="16384" width="9" style="50"/>
  </cols>
  <sheetData>
    <row r="1" ht="21.95" customHeight="1" spans="1:12">
      <c r="A1" s="51" t="s">
        <v>116</v>
      </c>
      <c r="B1" s="51"/>
      <c r="C1" s="51"/>
      <c r="D1" s="51"/>
      <c r="E1" s="51"/>
      <c r="F1" s="52"/>
      <c r="G1" s="52"/>
      <c r="H1" s="51"/>
      <c r="I1" s="52"/>
      <c r="J1" s="51"/>
      <c r="K1" s="60"/>
      <c r="L1" s="60"/>
    </row>
    <row r="2" ht="18" customHeight="1" spans="1:12">
      <c r="A2" s="53" t="s">
        <v>1</v>
      </c>
      <c r="B2" s="54" t="s">
        <v>2</v>
      </c>
      <c r="C2" s="8" t="s">
        <v>3</v>
      </c>
      <c r="D2" s="55">
        <v>6616376.99</v>
      </c>
      <c r="E2" s="56" t="s">
        <v>4</v>
      </c>
      <c r="F2" s="8" t="s">
        <v>5</v>
      </c>
      <c r="G2" s="57" t="s">
        <v>6</v>
      </c>
      <c r="H2" s="58" t="s">
        <v>7</v>
      </c>
      <c r="I2" s="79"/>
      <c r="J2" s="80"/>
      <c r="K2" s="60"/>
      <c r="L2" s="60"/>
    </row>
    <row r="3" ht="18" customHeight="1" spans="1:12">
      <c r="A3" s="53" t="s">
        <v>8</v>
      </c>
      <c r="B3" s="59"/>
      <c r="C3" s="8" t="s">
        <v>9</v>
      </c>
      <c r="D3" s="8"/>
      <c r="H3" s="60"/>
      <c r="I3" s="81"/>
      <c r="J3" s="60"/>
      <c r="K3" s="60"/>
      <c r="L3" s="60"/>
    </row>
    <row r="4" ht="18" customHeight="1" spans="1:12">
      <c r="A4" s="46" t="s">
        <v>10</v>
      </c>
      <c r="H4" s="60"/>
      <c r="I4" s="81"/>
      <c r="J4" s="60"/>
      <c r="K4" s="60"/>
      <c r="L4" s="60"/>
    </row>
    <row r="5" ht="18" customHeight="1" spans="1:10">
      <c r="A5" s="3" t="s">
        <v>11</v>
      </c>
      <c r="B5" s="2" t="s">
        <v>12</v>
      </c>
      <c r="C5" s="3" t="s">
        <v>13</v>
      </c>
      <c r="D5" s="3"/>
      <c r="E5" s="3" t="s">
        <v>14</v>
      </c>
      <c r="F5" s="2"/>
      <c r="G5" s="2" t="s">
        <v>15</v>
      </c>
      <c r="H5" s="25" t="s">
        <v>16</v>
      </c>
      <c r="I5" s="2"/>
      <c r="J5" s="25"/>
    </row>
    <row r="6" ht="18" customHeight="1" spans="1:11">
      <c r="A6" s="3"/>
      <c r="B6" s="2"/>
      <c r="C6" s="3" t="s">
        <v>17</v>
      </c>
      <c r="D6" s="3" t="s">
        <v>18</v>
      </c>
      <c r="E6" s="3" t="s">
        <v>17</v>
      </c>
      <c r="F6" s="2" t="s">
        <v>18</v>
      </c>
      <c r="G6" s="2"/>
      <c r="H6" s="25" t="s">
        <v>19</v>
      </c>
      <c r="I6" s="2" t="s">
        <v>20</v>
      </c>
      <c r="J6" s="25" t="s">
        <v>21</v>
      </c>
      <c r="K6" s="50" t="s">
        <v>22</v>
      </c>
    </row>
    <row r="7" ht="18" customHeight="1" spans="1:10">
      <c r="A7" s="6">
        <v>43539</v>
      </c>
      <c r="B7" s="61">
        <f>G7/(1+C7+E7)</f>
        <v>639331.063636364</v>
      </c>
      <c r="C7" s="62">
        <v>0.02</v>
      </c>
      <c r="D7" s="63">
        <f>G7/(1+E7+C7)*C7</f>
        <v>12786.6212727273</v>
      </c>
      <c r="E7" s="62">
        <v>0.08</v>
      </c>
      <c r="F7" s="61">
        <f>G7/(1+C7+E7)*E7</f>
        <v>51146.4850909091</v>
      </c>
      <c r="G7" s="64">
        <v>703264.17</v>
      </c>
      <c r="H7" s="6">
        <v>43549</v>
      </c>
      <c r="I7" s="61">
        <v>703264.17</v>
      </c>
      <c r="J7" s="26" t="s">
        <v>23</v>
      </c>
    </row>
    <row r="8" ht="18" customHeight="1" spans="1:10">
      <c r="A8" s="6">
        <v>43577</v>
      </c>
      <c r="B8" s="61">
        <f t="shared" ref="B8:B10" si="0">G8/(1+C8+E8)</f>
        <v>1565826.88073394</v>
      </c>
      <c r="C8" s="62">
        <v>0.02</v>
      </c>
      <c r="D8" s="63">
        <f t="shared" ref="D8:D10" si="1">G8/(1+E8+C8)*C8</f>
        <v>31316.5376146789</v>
      </c>
      <c r="E8" s="62">
        <v>0.07</v>
      </c>
      <c r="F8" s="61">
        <f t="shared" ref="F8:F17" si="2">G8/(1+C8+E8)*E8</f>
        <v>109607.881651376</v>
      </c>
      <c r="G8" s="64">
        <v>1706751.3</v>
      </c>
      <c r="H8" s="6">
        <v>43590</v>
      </c>
      <c r="I8" s="61">
        <v>1706751.3</v>
      </c>
      <c r="J8" s="26" t="s">
        <v>23</v>
      </c>
    </row>
    <row r="9" ht="18" customHeight="1" spans="1:10">
      <c r="A9" s="6">
        <v>43635</v>
      </c>
      <c r="B9" s="61">
        <f t="shared" si="0"/>
        <v>2394819.97247706</v>
      </c>
      <c r="C9" s="62">
        <v>0.02</v>
      </c>
      <c r="D9" s="63">
        <f t="shared" si="1"/>
        <v>47896.3994495413</v>
      </c>
      <c r="E9" s="62">
        <v>0.07</v>
      </c>
      <c r="F9" s="61">
        <f t="shared" si="2"/>
        <v>167637.398073394</v>
      </c>
      <c r="G9" s="64">
        <v>2610353.77</v>
      </c>
      <c r="H9" s="6">
        <v>43642</v>
      </c>
      <c r="I9" s="61">
        <v>780000</v>
      </c>
      <c r="J9" s="26" t="s">
        <v>23</v>
      </c>
    </row>
    <row r="10" ht="18" customHeight="1" spans="1:10">
      <c r="A10" s="6"/>
      <c r="B10" s="61">
        <f t="shared" si="0"/>
        <v>0</v>
      </c>
      <c r="C10" s="62">
        <v>0.02</v>
      </c>
      <c r="D10" s="63">
        <f t="shared" si="1"/>
        <v>0</v>
      </c>
      <c r="E10" s="62">
        <v>0.07</v>
      </c>
      <c r="F10" s="61">
        <f t="shared" si="2"/>
        <v>0</v>
      </c>
      <c r="G10" s="64"/>
      <c r="H10" s="6">
        <v>43642</v>
      </c>
      <c r="I10" s="61">
        <v>800000</v>
      </c>
      <c r="J10" s="26" t="s">
        <v>23</v>
      </c>
    </row>
    <row r="11" ht="18" customHeight="1" spans="1:10">
      <c r="A11" s="6"/>
      <c r="B11" s="61">
        <f t="shared" ref="B11:B17" si="3">G11/(1+C11+E11)</f>
        <v>0</v>
      </c>
      <c r="C11" s="62">
        <v>0.02</v>
      </c>
      <c r="D11" s="63">
        <f t="shared" ref="D11:D17" si="4">G11/(1+E11+C11)*C11</f>
        <v>0</v>
      </c>
      <c r="E11" s="62">
        <v>0.07</v>
      </c>
      <c r="F11" s="61">
        <f t="shared" si="2"/>
        <v>0</v>
      </c>
      <c r="G11" s="64"/>
      <c r="H11" s="6">
        <v>43642</v>
      </c>
      <c r="I11" s="61">
        <v>1030353.77</v>
      </c>
      <c r="J11" s="26" t="s">
        <v>23</v>
      </c>
    </row>
    <row r="12" ht="18" customHeight="1" spans="1:10">
      <c r="A12" s="6"/>
      <c r="B12" s="61">
        <f t="shared" si="3"/>
        <v>0</v>
      </c>
      <c r="C12" s="62">
        <v>0.02</v>
      </c>
      <c r="D12" s="63">
        <f t="shared" si="4"/>
        <v>0</v>
      </c>
      <c r="E12" s="62">
        <v>0.07</v>
      </c>
      <c r="F12" s="61">
        <f t="shared" si="2"/>
        <v>0</v>
      </c>
      <c r="G12" s="64"/>
      <c r="H12" s="6"/>
      <c r="I12" s="61"/>
      <c r="J12" s="26"/>
    </row>
    <row r="13" ht="18" customHeight="1" spans="1:10">
      <c r="A13" s="6"/>
      <c r="B13" s="61">
        <f t="shared" si="3"/>
        <v>0</v>
      </c>
      <c r="C13" s="62">
        <v>0.02</v>
      </c>
      <c r="D13" s="63">
        <f t="shared" si="4"/>
        <v>0</v>
      </c>
      <c r="E13" s="62">
        <v>0.07</v>
      </c>
      <c r="F13" s="61">
        <f t="shared" si="2"/>
        <v>0</v>
      </c>
      <c r="G13" s="64"/>
      <c r="H13" s="6"/>
      <c r="I13" s="61"/>
      <c r="J13" s="26"/>
    </row>
    <row r="14" ht="18" customHeight="1" spans="1:10">
      <c r="A14" s="6"/>
      <c r="B14" s="61">
        <f t="shared" si="3"/>
        <v>0</v>
      </c>
      <c r="C14" s="62">
        <v>0.02</v>
      </c>
      <c r="D14" s="63">
        <f t="shared" si="4"/>
        <v>0</v>
      </c>
      <c r="E14" s="62">
        <v>0.07</v>
      </c>
      <c r="F14" s="61">
        <f t="shared" si="2"/>
        <v>0</v>
      </c>
      <c r="G14" s="64"/>
      <c r="H14" s="6"/>
      <c r="I14" s="61"/>
      <c r="J14" s="26"/>
    </row>
    <row r="15" ht="18" customHeight="1" spans="1:10">
      <c r="A15" s="6"/>
      <c r="B15" s="61">
        <f t="shared" si="3"/>
        <v>0</v>
      </c>
      <c r="C15" s="62">
        <v>0.02</v>
      </c>
      <c r="D15" s="63">
        <f t="shared" si="4"/>
        <v>0</v>
      </c>
      <c r="E15" s="62">
        <v>0.07</v>
      </c>
      <c r="F15" s="61">
        <f t="shared" si="2"/>
        <v>0</v>
      </c>
      <c r="G15" s="64"/>
      <c r="H15" s="6"/>
      <c r="I15" s="61"/>
      <c r="J15" s="26"/>
    </row>
    <row r="16" ht="18" customHeight="1" spans="1:10">
      <c r="A16" s="6"/>
      <c r="B16" s="61">
        <f t="shared" si="3"/>
        <v>0</v>
      </c>
      <c r="C16" s="62">
        <v>0.02</v>
      </c>
      <c r="D16" s="63">
        <f t="shared" si="4"/>
        <v>0</v>
      </c>
      <c r="E16" s="62">
        <v>0.07</v>
      </c>
      <c r="F16" s="61">
        <f t="shared" si="2"/>
        <v>0</v>
      </c>
      <c r="G16" s="64"/>
      <c r="H16" s="6"/>
      <c r="I16" s="61"/>
      <c r="J16" s="26"/>
    </row>
    <row r="17" ht="18" customHeight="1" spans="1:10">
      <c r="A17" s="6"/>
      <c r="B17" s="61">
        <f t="shared" si="3"/>
        <v>0</v>
      </c>
      <c r="C17" s="62">
        <v>0.02</v>
      </c>
      <c r="D17" s="63">
        <f t="shared" si="4"/>
        <v>0</v>
      </c>
      <c r="E17" s="62">
        <v>0.08</v>
      </c>
      <c r="F17" s="61">
        <f t="shared" si="2"/>
        <v>0</v>
      </c>
      <c r="G17" s="64"/>
      <c r="H17" s="6"/>
      <c r="I17" s="61"/>
      <c r="J17" s="26"/>
    </row>
    <row r="18" ht="18" customHeight="1" spans="1:10">
      <c r="A18" s="65" t="s">
        <v>25</v>
      </c>
      <c r="B18" s="66">
        <f t="shared" ref="B18:G18" si="5">SUM(B7:B17)</f>
        <v>4599977.91684737</v>
      </c>
      <c r="C18" s="67"/>
      <c r="D18" s="68">
        <f t="shared" si="5"/>
        <v>91999.5583369475</v>
      </c>
      <c r="E18" s="67"/>
      <c r="F18" s="69">
        <f t="shared" si="5"/>
        <v>328391.76481568</v>
      </c>
      <c r="G18" s="68">
        <f t="shared" si="5"/>
        <v>5020369.24</v>
      </c>
      <c r="H18" s="28"/>
      <c r="I18" s="68">
        <f>SUM(I7:I17)</f>
        <v>5020369.24</v>
      </c>
      <c r="J18" s="28"/>
    </row>
    <row r="19" ht="18" customHeight="1" spans="1:12">
      <c r="A19" s="46" t="s">
        <v>26</v>
      </c>
      <c r="J19" s="48"/>
      <c r="K19" s="48"/>
      <c r="L19" s="49"/>
    </row>
    <row r="20" ht="18" customHeight="1" spans="1:15">
      <c r="A20" s="1" t="s">
        <v>27</v>
      </c>
      <c r="B20" s="2" t="s">
        <v>28</v>
      </c>
      <c r="C20" s="3" t="s">
        <v>29</v>
      </c>
      <c r="D20" s="3" t="s">
        <v>30</v>
      </c>
      <c r="E20" s="3" t="s">
        <v>17</v>
      </c>
      <c r="F20" s="2" t="s">
        <v>31</v>
      </c>
      <c r="G20" s="2" t="s">
        <v>15</v>
      </c>
      <c r="H20" s="3" t="s">
        <v>32</v>
      </c>
      <c r="I20" s="2" t="s">
        <v>33</v>
      </c>
      <c r="J20" s="3" t="s">
        <v>21</v>
      </c>
      <c r="K20" s="24" t="s">
        <v>34</v>
      </c>
      <c r="L20" s="25" t="s">
        <v>35</v>
      </c>
      <c r="M20" s="25" t="s">
        <v>36</v>
      </c>
      <c r="N20" s="25" t="s">
        <v>37</v>
      </c>
      <c r="O20" s="25" t="s">
        <v>38</v>
      </c>
    </row>
    <row r="21" ht="18" customHeight="1" spans="1:15">
      <c r="A21" s="1"/>
      <c r="B21" s="2"/>
      <c r="C21" s="3"/>
      <c r="D21" s="3"/>
      <c r="E21" s="4"/>
      <c r="F21" s="2"/>
      <c r="G21" s="70"/>
      <c r="H21" s="6" t="s">
        <v>39</v>
      </c>
      <c r="I21" s="61">
        <v>-300000</v>
      </c>
      <c r="J21" s="26" t="s">
        <v>40</v>
      </c>
      <c r="K21" s="27" t="s">
        <v>41</v>
      </c>
      <c r="L21" s="25"/>
      <c r="M21" s="25"/>
      <c r="N21" s="25"/>
      <c r="O21" s="25"/>
    </row>
    <row r="22" ht="18" customHeight="1" spans="1:15">
      <c r="A22" s="1"/>
      <c r="B22" s="2"/>
      <c r="C22" s="3"/>
      <c r="D22" s="3"/>
      <c r="E22" s="4"/>
      <c r="F22" s="2"/>
      <c r="G22" s="70"/>
      <c r="H22" s="6" t="s">
        <v>39</v>
      </c>
      <c r="I22" s="61">
        <v>300000</v>
      </c>
      <c r="J22" s="26" t="s">
        <v>23</v>
      </c>
      <c r="K22" s="27" t="s">
        <v>42</v>
      </c>
      <c r="L22" s="25"/>
      <c r="M22" s="25"/>
      <c r="N22" s="25"/>
      <c r="O22" s="25"/>
    </row>
    <row r="23" ht="18" customHeight="1" spans="1:15">
      <c r="A23" s="1"/>
      <c r="B23" s="2"/>
      <c r="C23" s="3"/>
      <c r="D23" s="3"/>
      <c r="E23" s="4"/>
      <c r="F23" s="2"/>
      <c r="G23" s="70"/>
      <c r="H23" s="6" t="s">
        <v>43</v>
      </c>
      <c r="I23" s="61">
        <v>-6000</v>
      </c>
      <c r="J23" s="26" t="s">
        <v>40</v>
      </c>
      <c r="K23" s="27" t="s">
        <v>41</v>
      </c>
      <c r="L23" s="25"/>
      <c r="M23" s="25"/>
      <c r="N23" s="25"/>
      <c r="O23" s="25"/>
    </row>
    <row r="24" ht="18" customHeight="1" spans="1:15">
      <c r="A24" s="1"/>
      <c r="B24" s="2"/>
      <c r="C24" s="3"/>
      <c r="D24" s="3"/>
      <c r="E24" s="4"/>
      <c r="F24" s="2"/>
      <c r="G24" s="70"/>
      <c r="H24" s="6" t="s">
        <v>43</v>
      </c>
      <c r="I24" s="61">
        <v>6000</v>
      </c>
      <c r="J24" s="26" t="s">
        <v>23</v>
      </c>
      <c r="K24" s="27" t="s">
        <v>44</v>
      </c>
      <c r="L24" s="25"/>
      <c r="M24" s="25"/>
      <c r="N24" s="25"/>
      <c r="O24" s="25"/>
    </row>
    <row r="25" ht="18" customHeight="1" spans="1:15">
      <c r="A25" s="7">
        <v>43525</v>
      </c>
      <c r="B25" s="61">
        <f>ROUND(G25/(1+E25),2)</f>
        <v>22117.92</v>
      </c>
      <c r="C25" s="9"/>
      <c r="D25" s="10" t="s">
        <v>45</v>
      </c>
      <c r="E25" s="4">
        <v>0.06</v>
      </c>
      <c r="F25" s="61">
        <f t="shared" ref="F25:F28" si="6">ROUND(G25/(1+E25)*E25,2)</f>
        <v>1327.08</v>
      </c>
      <c r="G25" s="70">
        <v>23445</v>
      </c>
      <c r="H25" s="6"/>
      <c r="I25" s="61"/>
      <c r="J25" s="26"/>
      <c r="K25" s="27" t="s">
        <v>46</v>
      </c>
      <c r="L25" s="28" t="s">
        <v>47</v>
      </c>
      <c r="M25" s="26"/>
      <c r="N25" s="26"/>
      <c r="O25" s="28"/>
    </row>
    <row r="26" ht="18" customHeight="1" spans="1:15">
      <c r="A26" s="7">
        <v>43525</v>
      </c>
      <c r="B26" s="61">
        <f t="shared" ref="B26:B29" si="7">ROUND(G26/(1+E26),2)</f>
        <v>260</v>
      </c>
      <c r="C26" s="9"/>
      <c r="D26" s="10" t="s">
        <v>48</v>
      </c>
      <c r="E26" s="4"/>
      <c r="F26" s="61">
        <f t="shared" si="6"/>
        <v>0</v>
      </c>
      <c r="G26" s="70">
        <f>200+60</f>
        <v>260</v>
      </c>
      <c r="H26" s="6"/>
      <c r="I26" s="61"/>
      <c r="J26" s="26"/>
      <c r="K26" s="27" t="s">
        <v>49</v>
      </c>
      <c r="L26" s="28" t="s">
        <v>50</v>
      </c>
      <c r="M26" s="26"/>
      <c r="N26" s="26"/>
      <c r="O26" s="28"/>
    </row>
    <row r="27" ht="18" customHeight="1" spans="1:15">
      <c r="A27" s="7">
        <v>43525</v>
      </c>
      <c r="B27" s="61">
        <f t="shared" si="7"/>
        <v>338371.93</v>
      </c>
      <c r="C27" s="9"/>
      <c r="D27" s="10" t="s">
        <v>45</v>
      </c>
      <c r="E27" s="4">
        <v>0.16</v>
      </c>
      <c r="F27" s="61">
        <f t="shared" si="6"/>
        <v>54139.51</v>
      </c>
      <c r="G27" s="70">
        <f>96255.72*2+100000*2</f>
        <v>392511.44</v>
      </c>
      <c r="H27" s="6">
        <v>43551</v>
      </c>
      <c r="I27" s="61">
        <f>96255.72*2+100000*2</f>
        <v>392511.44</v>
      </c>
      <c r="J27" s="26" t="s">
        <v>23</v>
      </c>
      <c r="K27" s="27" t="s">
        <v>51</v>
      </c>
      <c r="L27" s="28" t="s">
        <v>52</v>
      </c>
      <c r="M27" s="26" t="s">
        <v>53</v>
      </c>
      <c r="N27" s="26" t="s">
        <v>53</v>
      </c>
      <c r="O27" s="28"/>
    </row>
    <row r="28" ht="18" customHeight="1" spans="1:15">
      <c r="A28" s="7">
        <v>43525</v>
      </c>
      <c r="B28" s="61">
        <f t="shared" si="7"/>
        <v>12621.36</v>
      </c>
      <c r="C28" s="9"/>
      <c r="D28" s="10" t="s">
        <v>54</v>
      </c>
      <c r="E28" s="4">
        <v>0.03</v>
      </c>
      <c r="F28" s="61">
        <f t="shared" si="6"/>
        <v>378.64</v>
      </c>
      <c r="G28" s="70">
        <v>13000</v>
      </c>
      <c r="H28" s="6">
        <v>43557</v>
      </c>
      <c r="I28" s="61">
        <v>13000</v>
      </c>
      <c r="J28" s="26" t="s">
        <v>23</v>
      </c>
      <c r="K28" s="27" t="s">
        <v>55</v>
      </c>
      <c r="L28" s="28" t="s">
        <v>56</v>
      </c>
      <c r="M28" s="26" t="s">
        <v>53</v>
      </c>
      <c r="N28" s="26" t="s">
        <v>57</v>
      </c>
      <c r="O28" s="28"/>
    </row>
    <row r="29" ht="18" customHeight="1" spans="1:15">
      <c r="A29" s="7">
        <v>43525</v>
      </c>
      <c r="B29" s="61">
        <f t="shared" si="7"/>
        <v>13495.15</v>
      </c>
      <c r="C29" s="9"/>
      <c r="D29" s="10" t="s">
        <v>54</v>
      </c>
      <c r="E29" s="4">
        <v>0.03</v>
      </c>
      <c r="F29" s="61">
        <f t="shared" ref="F29" si="8">ROUND(G29/(1+E29)*E29,2)</f>
        <v>404.85</v>
      </c>
      <c r="G29" s="70">
        <v>13900</v>
      </c>
      <c r="H29" s="6">
        <v>43557</v>
      </c>
      <c r="I29" s="61">
        <v>13900</v>
      </c>
      <c r="J29" s="26" t="s">
        <v>23</v>
      </c>
      <c r="K29" s="27" t="s">
        <v>58</v>
      </c>
      <c r="L29" s="28" t="s">
        <v>56</v>
      </c>
      <c r="M29" s="26" t="s">
        <v>53</v>
      </c>
      <c r="N29" s="26" t="s">
        <v>57</v>
      </c>
      <c r="O29" s="28"/>
    </row>
    <row r="30" s="44" customFormat="1" ht="18" customHeight="1" spans="1:15">
      <c r="A30" s="7">
        <v>43525</v>
      </c>
      <c r="B30" s="59">
        <f t="shared" ref="B30:B55" si="9">ROUND(G30/(1+E30),2)</f>
        <v>27980.58</v>
      </c>
      <c r="C30" s="12"/>
      <c r="D30" s="10" t="s">
        <v>54</v>
      </c>
      <c r="E30" s="13">
        <v>0.03</v>
      </c>
      <c r="F30" s="59">
        <f t="shared" ref="F30:F55" si="10">ROUND(G30/(1+E30)*E30,2)</f>
        <v>839.42</v>
      </c>
      <c r="G30" s="64">
        <v>28820</v>
      </c>
      <c r="H30" s="6">
        <v>43557</v>
      </c>
      <c r="I30" s="61">
        <v>28820</v>
      </c>
      <c r="J30" s="26" t="s">
        <v>23</v>
      </c>
      <c r="K30" s="29" t="s">
        <v>59</v>
      </c>
      <c r="L30" s="30" t="s">
        <v>60</v>
      </c>
      <c r="M30" s="31" t="s">
        <v>53</v>
      </c>
      <c r="N30" s="31" t="s">
        <v>57</v>
      </c>
      <c r="O30" s="30"/>
    </row>
    <row r="31" s="44" customFormat="1" ht="18" customHeight="1" spans="1:15">
      <c r="A31" s="7">
        <v>43525</v>
      </c>
      <c r="B31" s="59">
        <f t="shared" si="9"/>
        <v>210000</v>
      </c>
      <c r="C31" s="12"/>
      <c r="D31" s="10" t="s">
        <v>48</v>
      </c>
      <c r="E31" s="13"/>
      <c r="F31" s="59">
        <f t="shared" si="10"/>
        <v>0</v>
      </c>
      <c r="G31" s="64">
        <v>210000</v>
      </c>
      <c r="H31" s="6">
        <v>43557</v>
      </c>
      <c r="I31" s="61">
        <v>210000</v>
      </c>
      <c r="J31" s="26" t="s">
        <v>23</v>
      </c>
      <c r="K31" s="29" t="s">
        <v>61</v>
      </c>
      <c r="L31" s="30" t="s">
        <v>62</v>
      </c>
      <c r="M31" s="31" t="s">
        <v>53</v>
      </c>
      <c r="N31" s="31"/>
      <c r="O31" s="30"/>
    </row>
    <row r="32" s="44" customFormat="1" ht="18" customHeight="1" spans="1:15">
      <c r="A32" s="15"/>
      <c r="B32" s="59">
        <f t="shared" si="9"/>
        <v>0</v>
      </c>
      <c r="C32" s="12"/>
      <c r="D32" s="10"/>
      <c r="E32" s="13"/>
      <c r="F32" s="59">
        <f t="shared" si="10"/>
        <v>0</v>
      </c>
      <c r="G32" s="64"/>
      <c r="H32" s="6">
        <v>43557</v>
      </c>
      <c r="I32" s="61">
        <v>110839</v>
      </c>
      <c r="J32" s="26" t="s">
        <v>23</v>
      </c>
      <c r="K32" s="29" t="s">
        <v>63</v>
      </c>
      <c r="L32" s="30" t="s">
        <v>64</v>
      </c>
      <c r="M32" s="31"/>
      <c r="N32" s="31"/>
      <c r="O32" s="30"/>
    </row>
    <row r="33" s="44" customFormat="1" ht="18" customHeight="1" spans="1:15">
      <c r="A33" s="15"/>
      <c r="B33" s="59">
        <f t="shared" si="9"/>
        <v>0</v>
      </c>
      <c r="C33" s="12"/>
      <c r="D33" s="16"/>
      <c r="E33" s="13"/>
      <c r="F33" s="59">
        <f t="shared" si="10"/>
        <v>0</v>
      </c>
      <c r="G33" s="64"/>
      <c r="H33" s="6">
        <v>43557</v>
      </c>
      <c r="I33" s="61">
        <v>-110839</v>
      </c>
      <c r="J33" s="26" t="s">
        <v>40</v>
      </c>
      <c r="K33" s="29" t="s">
        <v>65</v>
      </c>
      <c r="L33" s="30"/>
      <c r="M33" s="31"/>
      <c r="N33" s="31"/>
      <c r="O33" s="30"/>
    </row>
    <row r="34" s="44" customFormat="1" ht="18" customHeight="1" spans="1:15">
      <c r="A34" s="7">
        <v>43556</v>
      </c>
      <c r="B34" s="59">
        <f t="shared" si="9"/>
        <v>141450.44</v>
      </c>
      <c r="C34" s="12"/>
      <c r="D34" s="16" t="s">
        <v>45</v>
      </c>
      <c r="E34" s="13">
        <v>0.13</v>
      </c>
      <c r="F34" s="59">
        <f t="shared" si="10"/>
        <v>18388.56</v>
      </c>
      <c r="G34" s="64">
        <f>68399+91440</f>
        <v>159839</v>
      </c>
      <c r="H34" s="6">
        <v>43558</v>
      </c>
      <c r="I34" s="61">
        <v>49000</v>
      </c>
      <c r="J34" s="26" t="s">
        <v>23</v>
      </c>
      <c r="K34" s="29" t="s">
        <v>63</v>
      </c>
      <c r="L34" s="30" t="s">
        <v>64</v>
      </c>
      <c r="M34" s="31"/>
      <c r="N34" s="31" t="s">
        <v>53</v>
      </c>
      <c r="O34" s="30"/>
    </row>
    <row r="35" s="44" customFormat="1" ht="18" customHeight="1" spans="1:15">
      <c r="A35" s="15"/>
      <c r="B35" s="59">
        <f t="shared" si="9"/>
        <v>0</v>
      </c>
      <c r="C35" s="12"/>
      <c r="D35" s="16"/>
      <c r="E35" s="13"/>
      <c r="F35" s="59">
        <f t="shared" si="10"/>
        <v>0</v>
      </c>
      <c r="G35" s="64"/>
      <c r="H35" s="6">
        <v>43558</v>
      </c>
      <c r="I35" s="61">
        <v>-49000</v>
      </c>
      <c r="J35" s="26" t="s">
        <v>40</v>
      </c>
      <c r="K35" s="29" t="s">
        <v>65</v>
      </c>
      <c r="L35" s="30"/>
      <c r="M35" s="31"/>
      <c r="N35" s="31"/>
      <c r="O35" s="30"/>
    </row>
    <row r="36" s="44" customFormat="1" ht="18" customHeight="1" spans="1:15">
      <c r="A36" s="15">
        <v>43556</v>
      </c>
      <c r="B36" s="59">
        <f t="shared" si="9"/>
        <v>619469.03</v>
      </c>
      <c r="C36" s="12"/>
      <c r="D36" s="16" t="s">
        <v>45</v>
      </c>
      <c r="E36" s="13">
        <v>0.13</v>
      </c>
      <c r="F36" s="59">
        <f t="shared" si="10"/>
        <v>80530.97</v>
      </c>
      <c r="G36" s="64">
        <f>100000*7</f>
        <v>700000</v>
      </c>
      <c r="H36" s="6">
        <v>43592</v>
      </c>
      <c r="I36" s="61">
        <v>700000</v>
      </c>
      <c r="J36" s="26" t="s">
        <v>23</v>
      </c>
      <c r="K36" s="27" t="s">
        <v>51</v>
      </c>
      <c r="L36" s="30" t="s">
        <v>66</v>
      </c>
      <c r="M36" s="31" t="s">
        <v>53</v>
      </c>
      <c r="N36" s="31" t="s">
        <v>67</v>
      </c>
      <c r="O36" s="30"/>
    </row>
    <row r="37" s="44" customFormat="1" ht="18" customHeight="1" spans="1:15">
      <c r="A37" s="15">
        <v>43558</v>
      </c>
      <c r="B37" s="59">
        <f t="shared" si="9"/>
        <v>18803.88</v>
      </c>
      <c r="C37" s="12"/>
      <c r="D37" s="16" t="s">
        <v>45</v>
      </c>
      <c r="E37" s="13">
        <v>0.03</v>
      </c>
      <c r="F37" s="59">
        <f t="shared" si="10"/>
        <v>564.12</v>
      </c>
      <c r="G37" s="64">
        <f>6000+6000+7368</f>
        <v>19368</v>
      </c>
      <c r="H37" s="6">
        <v>43592</v>
      </c>
      <c r="I37" s="61">
        <v>13368</v>
      </c>
      <c r="J37" s="26" t="s">
        <v>23</v>
      </c>
      <c r="K37" s="27" t="s">
        <v>44</v>
      </c>
      <c r="L37" s="28" t="s">
        <v>68</v>
      </c>
      <c r="M37" s="31" t="s">
        <v>53</v>
      </c>
      <c r="N37" s="31"/>
      <c r="O37" s="30"/>
    </row>
    <row r="38" s="44" customFormat="1" ht="18" customHeight="1" spans="1:15">
      <c r="A38" s="15">
        <v>43556</v>
      </c>
      <c r="B38" s="59">
        <f t="shared" si="9"/>
        <v>500000</v>
      </c>
      <c r="C38" s="12"/>
      <c r="D38" s="16" t="s">
        <v>48</v>
      </c>
      <c r="E38" s="13"/>
      <c r="F38" s="59">
        <f t="shared" si="10"/>
        <v>0</v>
      </c>
      <c r="G38" s="64">
        <v>500000</v>
      </c>
      <c r="H38" s="6">
        <v>43592</v>
      </c>
      <c r="I38" s="61">
        <v>411640.75</v>
      </c>
      <c r="J38" s="26" t="s">
        <v>23</v>
      </c>
      <c r="K38" s="27" t="s">
        <v>69</v>
      </c>
      <c r="L38" s="28" t="s">
        <v>70</v>
      </c>
      <c r="M38" s="31" t="s">
        <v>53</v>
      </c>
      <c r="N38" s="31"/>
      <c r="O38" s="30"/>
    </row>
    <row r="39" s="44" customFormat="1" ht="18" customHeight="1" spans="1:15">
      <c r="A39" s="15">
        <v>43556</v>
      </c>
      <c r="B39" s="59">
        <f t="shared" si="9"/>
        <v>485172.73</v>
      </c>
      <c r="C39" s="12"/>
      <c r="D39" s="16" t="s">
        <v>45</v>
      </c>
      <c r="E39" s="13">
        <v>0.1</v>
      </c>
      <c r="F39" s="59">
        <f t="shared" si="10"/>
        <v>48517.27</v>
      </c>
      <c r="G39" s="64">
        <v>533690</v>
      </c>
      <c r="H39" s="6">
        <v>43592</v>
      </c>
      <c r="I39" s="61">
        <v>533690</v>
      </c>
      <c r="J39" s="26" t="s">
        <v>23</v>
      </c>
      <c r="K39" s="27" t="s">
        <v>71</v>
      </c>
      <c r="L39" s="28" t="s">
        <v>72</v>
      </c>
      <c r="M39" s="31" t="s">
        <v>53</v>
      </c>
      <c r="N39" s="31" t="s">
        <v>73</v>
      </c>
      <c r="O39" s="30"/>
    </row>
    <row r="40" s="45" customFormat="1" ht="18" customHeight="1" spans="1:15">
      <c r="A40" s="17">
        <v>43617</v>
      </c>
      <c r="B40" s="71">
        <f t="shared" si="9"/>
        <v>840707.96</v>
      </c>
      <c r="C40" s="19"/>
      <c r="D40" s="20" t="s">
        <v>45</v>
      </c>
      <c r="E40" s="72">
        <v>0.13</v>
      </c>
      <c r="F40" s="71">
        <f t="shared" si="10"/>
        <v>109292.04</v>
      </c>
      <c r="G40" s="71">
        <v>950000</v>
      </c>
      <c r="H40" s="21">
        <v>43649</v>
      </c>
      <c r="I40" s="71">
        <v>919827.77</v>
      </c>
      <c r="J40" s="26" t="s">
        <v>23</v>
      </c>
      <c r="K40" s="32" t="s">
        <v>51</v>
      </c>
      <c r="L40" s="33" t="s">
        <v>74</v>
      </c>
      <c r="M40" s="31" t="s">
        <v>53</v>
      </c>
      <c r="N40" s="31" t="s">
        <v>53</v>
      </c>
      <c r="O40" s="33"/>
    </row>
    <row r="41" s="44" customFormat="1" ht="18" customHeight="1" spans="1:15">
      <c r="A41" s="15">
        <v>43617</v>
      </c>
      <c r="B41" s="59">
        <f t="shared" si="9"/>
        <v>733944.95</v>
      </c>
      <c r="C41" s="12"/>
      <c r="D41" s="16" t="s">
        <v>45</v>
      </c>
      <c r="E41" s="13">
        <v>0.09</v>
      </c>
      <c r="F41" s="59">
        <f t="shared" si="10"/>
        <v>66055.05</v>
      </c>
      <c r="G41" s="64">
        <f>37686.7+108901.9*7</f>
        <v>800000</v>
      </c>
      <c r="H41" s="6">
        <v>43644</v>
      </c>
      <c r="I41" s="61">
        <f>37686.7+108901.9*7</f>
        <v>800000</v>
      </c>
      <c r="J41" s="26" t="s">
        <v>23</v>
      </c>
      <c r="K41" s="27" t="s">
        <v>71</v>
      </c>
      <c r="L41" s="28" t="s">
        <v>72</v>
      </c>
      <c r="M41" s="31" t="s">
        <v>53</v>
      </c>
      <c r="N41" s="31" t="s">
        <v>53</v>
      </c>
      <c r="O41" s="30"/>
    </row>
    <row r="42" s="44" customFormat="1" ht="18" customHeight="1" spans="1:15">
      <c r="A42" s="15">
        <v>43617</v>
      </c>
      <c r="B42" s="59">
        <f t="shared" si="9"/>
        <v>800000</v>
      </c>
      <c r="C42" s="12"/>
      <c r="D42" s="16" t="s">
        <v>48</v>
      </c>
      <c r="E42" s="13"/>
      <c r="F42" s="59">
        <f t="shared" si="10"/>
        <v>0</v>
      </c>
      <c r="G42" s="64">
        <v>800000</v>
      </c>
      <c r="H42" s="6">
        <v>43644</v>
      </c>
      <c r="I42" s="61">
        <v>800000</v>
      </c>
      <c r="J42" s="26" t="s">
        <v>23</v>
      </c>
      <c r="K42" s="27" t="s">
        <v>69</v>
      </c>
      <c r="L42" s="28" t="s">
        <v>70</v>
      </c>
      <c r="M42" s="31"/>
      <c r="N42" s="31"/>
      <c r="O42" s="30"/>
    </row>
    <row r="43" s="44" customFormat="1" ht="18" customHeight="1" spans="1:15">
      <c r="A43" s="15">
        <v>43770</v>
      </c>
      <c r="B43" s="59">
        <f t="shared" si="9"/>
        <v>45631.07</v>
      </c>
      <c r="C43" s="12"/>
      <c r="D43" s="16" t="s">
        <v>45</v>
      </c>
      <c r="E43" s="22">
        <v>0.03</v>
      </c>
      <c r="F43" s="59">
        <f t="shared" si="10"/>
        <v>1368.93</v>
      </c>
      <c r="G43" s="64">
        <v>47000</v>
      </c>
      <c r="H43" s="6">
        <v>43686</v>
      </c>
      <c r="I43" s="61">
        <v>47000</v>
      </c>
      <c r="J43" s="26" t="s">
        <v>23</v>
      </c>
      <c r="K43" s="29" t="s">
        <v>44</v>
      </c>
      <c r="L43" s="28" t="s">
        <v>75</v>
      </c>
      <c r="M43" s="31" t="s">
        <v>53</v>
      </c>
      <c r="N43" s="31"/>
      <c r="O43" s="30"/>
    </row>
    <row r="44" s="44" customFormat="1" ht="18" customHeight="1" spans="1:15">
      <c r="A44" s="15"/>
      <c r="B44" s="59">
        <f t="shared" ref="B44:B58" si="11">ROUND(G44/(1+E44),2)</f>
        <v>0</v>
      </c>
      <c r="C44" s="12"/>
      <c r="D44" s="16"/>
      <c r="E44" s="13"/>
      <c r="F44" s="59">
        <f t="shared" ref="F44:F58" si="12">ROUND(G44/(1+E44)*E44,2)</f>
        <v>0</v>
      </c>
      <c r="G44" s="64"/>
      <c r="H44" s="6">
        <v>43686</v>
      </c>
      <c r="I44" s="61">
        <v>-47000</v>
      </c>
      <c r="J44" s="26" t="s">
        <v>40</v>
      </c>
      <c r="K44" s="29" t="s">
        <v>65</v>
      </c>
      <c r="L44" s="28"/>
      <c r="M44" s="31"/>
      <c r="N44" s="31"/>
      <c r="O44" s="30"/>
    </row>
    <row r="45" s="44" customFormat="1" ht="18" customHeight="1" spans="1:15">
      <c r="A45" s="15">
        <v>43770</v>
      </c>
      <c r="B45" s="59">
        <f t="shared" si="11"/>
        <v>129870.62</v>
      </c>
      <c r="C45" s="12"/>
      <c r="D45" s="16" t="s">
        <v>45</v>
      </c>
      <c r="E45" s="22">
        <v>0.13</v>
      </c>
      <c r="F45" s="59">
        <f t="shared" si="12"/>
        <v>16883.18</v>
      </c>
      <c r="G45" s="64">
        <v>146753.8</v>
      </c>
      <c r="H45" s="6"/>
      <c r="I45" s="61"/>
      <c r="J45" s="26"/>
      <c r="K45" s="27" t="s">
        <v>51</v>
      </c>
      <c r="L45" s="28" t="s">
        <v>76</v>
      </c>
      <c r="M45" s="31" t="s">
        <v>53</v>
      </c>
      <c r="N45" s="31"/>
      <c r="O45" s="30"/>
    </row>
    <row r="46" s="44" customFormat="1" ht="18" customHeight="1" spans="1:15">
      <c r="A46" s="15">
        <v>43770</v>
      </c>
      <c r="B46" s="59">
        <f t="shared" si="11"/>
        <v>231273.39</v>
      </c>
      <c r="C46" s="12"/>
      <c r="D46" s="20" t="s">
        <v>45</v>
      </c>
      <c r="E46" s="22">
        <v>0.09</v>
      </c>
      <c r="F46" s="59">
        <f t="shared" si="12"/>
        <v>20814.61</v>
      </c>
      <c r="G46" s="64">
        <v>252088</v>
      </c>
      <c r="H46" s="6"/>
      <c r="I46" s="61"/>
      <c r="J46" s="26"/>
      <c r="K46" s="27" t="s">
        <v>71</v>
      </c>
      <c r="L46" s="28" t="s">
        <v>72</v>
      </c>
      <c r="M46" s="31" t="s">
        <v>53</v>
      </c>
      <c r="N46" s="31"/>
      <c r="O46" s="30"/>
    </row>
    <row r="47" s="44" customFormat="1" ht="18" customHeight="1" spans="1:15">
      <c r="A47" s="15"/>
      <c r="B47" s="59"/>
      <c r="C47" s="12"/>
      <c r="D47" s="16"/>
      <c r="E47" s="22"/>
      <c r="F47" s="59"/>
      <c r="G47" s="64"/>
      <c r="H47" s="6"/>
      <c r="I47" s="61"/>
      <c r="J47" s="26"/>
      <c r="K47" s="29"/>
      <c r="L47" s="28"/>
      <c r="M47" s="31"/>
      <c r="N47" s="31"/>
      <c r="O47" s="30"/>
    </row>
    <row r="48" s="44" customFormat="1" ht="18" customHeight="1" spans="1:15">
      <c r="A48" s="15"/>
      <c r="B48" s="59">
        <f t="shared" si="11"/>
        <v>0</v>
      </c>
      <c r="C48" s="12"/>
      <c r="D48" s="16"/>
      <c r="E48" s="13"/>
      <c r="F48" s="59">
        <f t="shared" si="12"/>
        <v>0</v>
      </c>
      <c r="G48" s="64"/>
      <c r="H48" s="6"/>
      <c r="I48" s="61"/>
      <c r="J48" s="26"/>
      <c r="K48" s="27"/>
      <c r="L48" s="82"/>
      <c r="M48" s="31"/>
      <c r="N48" s="31"/>
      <c r="O48" s="30"/>
    </row>
    <row r="49" s="44" customFormat="1" ht="18" customHeight="1" spans="1:15">
      <c r="A49" s="15"/>
      <c r="B49" s="59">
        <f t="shared" si="11"/>
        <v>0</v>
      </c>
      <c r="C49" s="12"/>
      <c r="D49" s="16"/>
      <c r="E49" s="13"/>
      <c r="F49" s="59">
        <f t="shared" si="12"/>
        <v>0</v>
      </c>
      <c r="G49" s="64"/>
      <c r="H49" s="6"/>
      <c r="I49" s="61"/>
      <c r="J49" s="26"/>
      <c r="K49" s="27"/>
      <c r="L49" s="82"/>
      <c r="M49" s="31"/>
      <c r="N49" s="31"/>
      <c r="O49" s="30"/>
    </row>
    <row r="50" s="44" customFormat="1" ht="18" customHeight="1" spans="1:15">
      <c r="A50" s="15"/>
      <c r="B50" s="59">
        <f t="shared" si="11"/>
        <v>0</v>
      </c>
      <c r="C50" s="12"/>
      <c r="D50" s="16"/>
      <c r="E50" s="13"/>
      <c r="F50" s="59">
        <f t="shared" si="12"/>
        <v>0</v>
      </c>
      <c r="G50" s="64"/>
      <c r="H50" s="6" t="s">
        <v>88</v>
      </c>
      <c r="I50" s="61">
        <v>38318</v>
      </c>
      <c r="J50" s="26" t="s">
        <v>80</v>
      </c>
      <c r="K50" s="29" t="s">
        <v>89</v>
      </c>
      <c r="L50" s="82"/>
      <c r="M50" s="31"/>
      <c r="N50" s="31"/>
      <c r="O50" s="30"/>
    </row>
    <row r="51" s="44" customFormat="1" ht="18" customHeight="1" spans="1:15">
      <c r="A51" s="15"/>
      <c r="B51" s="59">
        <f t="shared" si="11"/>
        <v>0</v>
      </c>
      <c r="C51" s="12"/>
      <c r="D51" s="16"/>
      <c r="E51" s="13"/>
      <c r="F51" s="59">
        <f t="shared" si="12"/>
        <v>0</v>
      </c>
      <c r="G51" s="64"/>
      <c r="H51" s="6" t="s">
        <v>90</v>
      </c>
      <c r="I51" s="61">
        <v>4600</v>
      </c>
      <c r="J51" s="26" t="s">
        <v>80</v>
      </c>
      <c r="K51" s="83" t="s">
        <v>91</v>
      </c>
      <c r="L51" s="82"/>
      <c r="M51" s="31"/>
      <c r="N51" s="31"/>
      <c r="O51" s="30"/>
    </row>
    <row r="52" s="44" customFormat="1" ht="18" customHeight="1" spans="1:15">
      <c r="A52" s="15"/>
      <c r="B52" s="59">
        <f t="shared" si="11"/>
        <v>0</v>
      </c>
      <c r="C52" s="12"/>
      <c r="D52" s="16"/>
      <c r="E52" s="13"/>
      <c r="F52" s="59">
        <f t="shared" si="12"/>
        <v>0</v>
      </c>
      <c r="G52" s="64"/>
      <c r="H52" s="6" t="s">
        <v>90</v>
      </c>
      <c r="I52" s="61">
        <v>25054</v>
      </c>
      <c r="J52" s="26" t="s">
        <v>80</v>
      </c>
      <c r="K52" s="29" t="s">
        <v>89</v>
      </c>
      <c r="L52" s="84"/>
      <c r="M52" s="31"/>
      <c r="N52" s="31"/>
      <c r="O52" s="30"/>
    </row>
    <row r="53" s="44" customFormat="1" ht="18" customHeight="1" spans="1:15">
      <c r="A53" s="15"/>
      <c r="B53" s="59">
        <f t="shared" si="11"/>
        <v>0</v>
      </c>
      <c r="C53" s="12"/>
      <c r="D53" s="16"/>
      <c r="E53" s="13"/>
      <c r="F53" s="59">
        <f t="shared" si="12"/>
        <v>0</v>
      </c>
      <c r="G53" s="64"/>
      <c r="H53" s="6"/>
      <c r="I53" s="61"/>
      <c r="J53" s="26"/>
      <c r="K53" s="29"/>
      <c r="L53" s="30"/>
      <c r="M53" s="31"/>
      <c r="N53" s="31"/>
      <c r="O53" s="30"/>
    </row>
    <row r="54" s="44" customFormat="1" ht="18" customHeight="1" spans="1:15">
      <c r="A54" s="15"/>
      <c r="B54" s="59">
        <f t="shared" si="11"/>
        <v>0</v>
      </c>
      <c r="C54" s="12"/>
      <c r="D54" s="16"/>
      <c r="E54" s="13"/>
      <c r="F54" s="59">
        <f t="shared" si="12"/>
        <v>0</v>
      </c>
      <c r="G54" s="64"/>
      <c r="H54" s="6"/>
      <c r="I54" s="85"/>
      <c r="J54" s="26"/>
      <c r="K54" s="29"/>
      <c r="L54" s="30"/>
      <c r="M54" s="31"/>
      <c r="N54" s="31"/>
      <c r="O54" s="30"/>
    </row>
    <row r="55" s="44" customFormat="1" ht="18" customHeight="1" spans="1:15">
      <c r="A55" s="15"/>
      <c r="B55" s="59">
        <f t="shared" si="11"/>
        <v>0</v>
      </c>
      <c r="C55" s="12"/>
      <c r="D55" s="16"/>
      <c r="E55" s="13"/>
      <c r="F55" s="59">
        <f t="shared" si="12"/>
        <v>0</v>
      </c>
      <c r="G55" s="64"/>
      <c r="H55" s="6" t="s">
        <v>92</v>
      </c>
      <c r="I55" s="61">
        <v>5000</v>
      </c>
      <c r="J55" s="26" t="s">
        <v>80</v>
      </c>
      <c r="K55" s="29" t="s">
        <v>93</v>
      </c>
      <c r="L55" s="30"/>
      <c r="M55" s="31"/>
      <c r="N55" s="31"/>
      <c r="O55" s="30"/>
    </row>
    <row r="56" s="44" customFormat="1" ht="18" customHeight="1" spans="1:15">
      <c r="A56" s="15"/>
      <c r="B56" s="59">
        <f t="shared" si="11"/>
        <v>0</v>
      </c>
      <c r="C56" s="12"/>
      <c r="D56" s="16"/>
      <c r="E56" s="13"/>
      <c r="F56" s="59">
        <f t="shared" si="12"/>
        <v>0</v>
      </c>
      <c r="G56" s="64"/>
      <c r="H56" s="6"/>
      <c r="I56" s="61">
        <v>10230</v>
      </c>
      <c r="J56" s="26" t="s">
        <v>80</v>
      </c>
      <c r="K56" s="86" t="s">
        <v>89</v>
      </c>
      <c r="L56" s="30"/>
      <c r="M56" s="31"/>
      <c r="N56" s="31"/>
      <c r="O56" s="30"/>
    </row>
    <row r="57" s="44" customFormat="1" ht="18" customHeight="1" spans="1:15">
      <c r="A57" s="15"/>
      <c r="B57" s="59">
        <f t="shared" si="11"/>
        <v>100409.28</v>
      </c>
      <c r="C57" s="12"/>
      <c r="D57" s="16"/>
      <c r="E57" s="13"/>
      <c r="F57" s="59">
        <f t="shared" si="12"/>
        <v>0</v>
      </c>
      <c r="G57" s="64">
        <f>14065.28+34136+52208</f>
        <v>100409.28</v>
      </c>
      <c r="H57" s="6"/>
      <c r="I57" s="61">
        <f>G57</f>
        <v>100409.28</v>
      </c>
      <c r="J57" s="26" t="s">
        <v>80</v>
      </c>
      <c r="K57" s="86" t="s">
        <v>94</v>
      </c>
      <c r="L57" s="30"/>
      <c r="M57" s="31"/>
      <c r="N57" s="31"/>
      <c r="O57" s="30"/>
    </row>
    <row r="58" s="44" customFormat="1" ht="18" customHeight="1" spans="1:15">
      <c r="A58" s="15"/>
      <c r="B58" s="59">
        <f t="shared" si="11"/>
        <v>0</v>
      </c>
      <c r="C58" s="12"/>
      <c r="D58" s="16"/>
      <c r="E58" s="13"/>
      <c r="F58" s="59">
        <f t="shared" si="12"/>
        <v>0</v>
      </c>
      <c r="G58" s="64"/>
      <c r="H58" s="6"/>
      <c r="I58" s="61"/>
      <c r="J58" s="26"/>
      <c r="K58" s="29"/>
      <c r="L58" s="30"/>
      <c r="M58" s="31"/>
      <c r="N58" s="31"/>
      <c r="O58" s="30"/>
    </row>
    <row r="59" ht="18" customHeight="1" spans="1:15">
      <c r="A59" s="67" t="s">
        <v>25</v>
      </c>
      <c r="B59" s="66">
        <f t="shared" ref="B59:G59" si="13">SUM(B21:B58)</f>
        <v>5271580.29</v>
      </c>
      <c r="C59" s="67"/>
      <c r="D59" s="73"/>
      <c r="E59" s="73"/>
      <c r="F59" s="66">
        <f t="shared" si="13"/>
        <v>419504.23</v>
      </c>
      <c r="G59" s="66">
        <f t="shared" si="13"/>
        <v>5691084.52</v>
      </c>
      <c r="H59" s="74"/>
      <c r="I59" s="66">
        <f>SUM(I21:I58)</f>
        <v>5020369.24</v>
      </c>
      <c r="J59" s="87"/>
      <c r="K59" s="73"/>
      <c r="L59" s="28"/>
      <c r="M59" s="26"/>
      <c r="N59" s="26"/>
      <c r="O59" s="28"/>
    </row>
    <row r="60" ht="18" customHeight="1" spans="1:14">
      <c r="A60" s="75" t="s">
        <v>95</v>
      </c>
      <c r="B60" s="76">
        <f>B18*0.984</f>
        <v>4526378.27017781</v>
      </c>
      <c r="C60" s="75"/>
      <c r="D60" s="77"/>
      <c r="E60" s="77"/>
      <c r="F60" s="76"/>
      <c r="G60" s="76">
        <f>G18-G59</f>
        <v>-670715.279999999</v>
      </c>
      <c r="H60" s="25" t="s">
        <v>96</v>
      </c>
      <c r="I60" s="68">
        <f>I18-I59</f>
        <v>0</v>
      </c>
      <c r="J60" s="50"/>
      <c r="K60" s="88"/>
      <c r="M60" s="89"/>
      <c r="N60" s="89"/>
    </row>
    <row r="61" ht="18" customHeight="1" spans="1:14">
      <c r="A61" s="75" t="s">
        <v>97</v>
      </c>
      <c r="B61" s="76">
        <f>B60-B59</f>
        <v>-745202.019822186</v>
      </c>
      <c r="C61" s="75"/>
      <c r="D61" s="77"/>
      <c r="E61" s="77"/>
      <c r="F61" s="76"/>
      <c r="G61" s="76"/>
      <c r="H61" s="78"/>
      <c r="I61" s="76"/>
      <c r="J61" s="50"/>
      <c r="K61" s="88"/>
      <c r="M61" s="89"/>
      <c r="N61" s="89"/>
    </row>
    <row r="62" ht="18" customHeight="1" spans="1:3">
      <c r="A62" s="46" t="s">
        <v>98</v>
      </c>
      <c r="C62" s="46"/>
    </row>
    <row r="63" ht="18" customHeight="1" spans="1:9">
      <c r="A63" s="25" t="s">
        <v>99</v>
      </c>
      <c r="B63" s="2" t="s">
        <v>100</v>
      </c>
      <c r="C63" s="28"/>
      <c r="D63" s="25" t="s">
        <v>99</v>
      </c>
      <c r="E63" s="3" t="s">
        <v>17</v>
      </c>
      <c r="F63" s="2" t="s">
        <v>100</v>
      </c>
      <c r="G63" s="2" t="s">
        <v>101</v>
      </c>
      <c r="H63" s="2" t="s">
        <v>102</v>
      </c>
      <c r="I63" s="2" t="s">
        <v>103</v>
      </c>
    </row>
    <row r="64" ht="18" customHeight="1" spans="1:9">
      <c r="A64" s="28" t="s">
        <v>106</v>
      </c>
      <c r="B64" s="59">
        <f>(B60-B59)*0.25</f>
        <v>-186300.504955546</v>
      </c>
      <c r="C64" s="28"/>
      <c r="D64" s="65" t="s">
        <v>107</v>
      </c>
      <c r="E64" s="25" t="s">
        <v>108</v>
      </c>
      <c r="F64" s="69">
        <f>F18-F59</f>
        <v>-91112.4651843202</v>
      </c>
      <c r="G64" s="69">
        <v>0</v>
      </c>
      <c r="H64" s="69">
        <v>0</v>
      </c>
      <c r="I64" s="69">
        <v>0</v>
      </c>
    </row>
    <row r="65" ht="18" customHeight="1" spans="1:9">
      <c r="A65" s="28" t="s">
        <v>109</v>
      </c>
      <c r="B65" s="90" t="s">
        <v>110</v>
      </c>
      <c r="C65" s="28"/>
      <c r="D65" s="91" t="s">
        <v>111</v>
      </c>
      <c r="E65" s="56">
        <v>0.05</v>
      </c>
      <c r="F65" s="61">
        <f>F64*E65</f>
        <v>-4555.62325921601</v>
      </c>
      <c r="G65" s="61">
        <v>0</v>
      </c>
      <c r="H65" s="61">
        <v>0</v>
      </c>
      <c r="I65" s="61">
        <v>0</v>
      </c>
    </row>
    <row r="66" ht="18" customHeight="1" spans="1:9">
      <c r="A66" s="28" t="s">
        <v>112</v>
      </c>
      <c r="B66" s="90" t="s">
        <v>110</v>
      </c>
      <c r="C66" s="28"/>
      <c r="D66" s="91" t="s">
        <v>113</v>
      </c>
      <c r="E66" s="56">
        <v>0.03</v>
      </c>
      <c r="F66" s="61">
        <f>F64*E66</f>
        <v>-2733.37395552961</v>
      </c>
      <c r="G66" s="61">
        <v>0</v>
      </c>
      <c r="H66" s="61">
        <v>0</v>
      </c>
      <c r="I66" s="61">
        <v>0</v>
      </c>
    </row>
    <row r="67" ht="18" customHeight="1" spans="1:9">
      <c r="A67" s="28"/>
      <c r="B67" s="61"/>
      <c r="C67" s="28"/>
      <c r="D67" s="91" t="s">
        <v>114</v>
      </c>
      <c r="E67" s="56">
        <v>0.02</v>
      </c>
      <c r="F67" s="61">
        <f>F64*E67</f>
        <v>-1822.2493036864</v>
      </c>
      <c r="G67" s="61">
        <v>0</v>
      </c>
      <c r="H67" s="61">
        <v>0</v>
      </c>
      <c r="I67" s="61">
        <v>0</v>
      </c>
    </row>
    <row r="68" ht="18" customHeight="1" spans="1:9">
      <c r="A68" s="65" t="s">
        <v>115</v>
      </c>
      <c r="B68" s="66">
        <f>SUM(B64:B67)</f>
        <v>-186300.504955546</v>
      </c>
      <c r="C68" s="28"/>
      <c r="D68" s="1" t="s">
        <v>115</v>
      </c>
      <c r="E68" s="65"/>
      <c r="F68" s="69">
        <f>SUM(F64:F67)</f>
        <v>-100223.711702752</v>
      </c>
      <c r="G68" s="69">
        <v>0</v>
      </c>
      <c r="H68" s="69">
        <v>0</v>
      </c>
      <c r="I68" s="69">
        <v>0</v>
      </c>
    </row>
    <row r="69" ht="18" customHeight="1" spans="3:9">
      <c r="C69" s="46"/>
      <c r="D69" s="3" t="s">
        <v>25</v>
      </c>
      <c r="E69" s="67"/>
      <c r="F69" s="68">
        <f>F68</f>
        <v>-100223.711702752</v>
      </c>
      <c r="G69" s="68">
        <v>0</v>
      </c>
      <c r="H69" s="68">
        <v>0</v>
      </c>
      <c r="I69" s="68">
        <v>0</v>
      </c>
    </row>
    <row r="70" ht="18" customHeight="1" spans="3:9">
      <c r="C70" s="46"/>
      <c r="D70" s="67" t="s">
        <v>106</v>
      </c>
      <c r="E70" s="73">
        <v>0.016</v>
      </c>
      <c r="F70" s="68">
        <f>B18*E70</f>
        <v>73599.646669558</v>
      </c>
      <c r="G70" s="68">
        <f>B7*E70</f>
        <v>10229.2970181818</v>
      </c>
      <c r="H70" s="68">
        <f>B8*E70</f>
        <v>25053.2300917431</v>
      </c>
      <c r="I70" s="68">
        <f>B9*E70</f>
        <v>38317.119559633</v>
      </c>
    </row>
    <row r="71" ht="18" customHeight="1" spans="3:3">
      <c r="C71" s="46"/>
    </row>
    <row r="72" ht="18" customHeight="1" spans="3:3">
      <c r="C72" s="46"/>
    </row>
    <row r="73" ht="18" customHeight="1" spans="3:3">
      <c r="C73" s="46"/>
    </row>
    <row r="74" spans="3:3">
      <c r="C74" s="46"/>
    </row>
    <row r="75" spans="3:3">
      <c r="C75" s="46"/>
    </row>
    <row r="76" spans="3:3">
      <c r="C76" s="46"/>
    </row>
    <row r="77" spans="3:3">
      <c r="C77" s="46"/>
    </row>
    <row r="78" spans="3:3">
      <c r="C78" s="46"/>
    </row>
    <row r="79" spans="3:3">
      <c r="C79" s="46"/>
    </row>
    <row r="80" spans="3:3">
      <c r="C80" s="46"/>
    </row>
    <row r="81" spans="3:3">
      <c r="C81" s="46"/>
    </row>
    <row r="82" spans="3:3">
      <c r="C82" s="46"/>
    </row>
    <row r="83" spans="3:3">
      <c r="C83" s="46"/>
    </row>
    <row r="84" spans="3:3">
      <c r="C84" s="46"/>
    </row>
    <row r="85" spans="3:3">
      <c r="C85" s="46"/>
    </row>
    <row r="86" spans="3:3">
      <c r="C86" s="46"/>
    </row>
    <row r="87" spans="3:3">
      <c r="C87" s="46"/>
    </row>
    <row r="88" spans="3:3">
      <c r="C88" s="46"/>
    </row>
    <row r="89" spans="3:3">
      <c r="C89" s="46"/>
    </row>
  </sheetData>
  <autoFilter ref="A20:O7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0"/>
  <sheetViews>
    <sheetView workbookViewId="0">
      <selection activeCell="D12" sqref="D12:D14"/>
    </sheetView>
  </sheetViews>
  <sheetFormatPr defaultColWidth="9" defaultRowHeight="13.5" outlineLevelCol="3"/>
  <cols>
    <col min="1" max="1" width="35.875" customWidth="1"/>
    <col min="2" max="3" width="16.125" customWidth="1"/>
  </cols>
  <sheetData>
    <row r="3" spans="1:3">
      <c r="A3" s="34"/>
      <c r="B3" s="35" t="s">
        <v>117</v>
      </c>
      <c r="C3" s="36"/>
    </row>
    <row r="4" spans="1:3">
      <c r="A4" s="35" t="s">
        <v>34</v>
      </c>
      <c r="B4" s="37" t="s">
        <v>118</v>
      </c>
      <c r="C4" s="38" t="s">
        <v>119</v>
      </c>
    </row>
    <row r="5" spans="1:4">
      <c r="A5" s="39" t="s">
        <v>71</v>
      </c>
      <c r="B5" s="40">
        <v>1585778</v>
      </c>
      <c r="C5" s="41">
        <v>1585778</v>
      </c>
      <c r="D5">
        <f>B5-C5</f>
        <v>0</v>
      </c>
    </row>
    <row r="6" spans="1:4">
      <c r="A6" s="39" t="s">
        <v>63</v>
      </c>
      <c r="B6" s="40">
        <v>159839</v>
      </c>
      <c r="C6" s="41">
        <v>159839</v>
      </c>
      <c r="D6">
        <f t="shared" ref="D6:D20" si="0">B6-C6</f>
        <v>0</v>
      </c>
    </row>
    <row r="7" spans="1:4">
      <c r="A7" s="39" t="s">
        <v>51</v>
      </c>
      <c r="B7" s="40">
        <v>2189265.24</v>
      </c>
      <c r="C7" s="41">
        <v>2189265.24</v>
      </c>
      <c r="D7">
        <f t="shared" si="0"/>
        <v>0</v>
      </c>
    </row>
    <row r="8" spans="1:4">
      <c r="A8" s="39" t="s">
        <v>49</v>
      </c>
      <c r="B8" s="40">
        <v>260</v>
      </c>
      <c r="C8" s="41"/>
      <c r="D8">
        <f t="shared" si="0"/>
        <v>260</v>
      </c>
    </row>
    <row r="9" spans="1:4">
      <c r="A9" s="39" t="s">
        <v>46</v>
      </c>
      <c r="B9" s="40">
        <v>23445</v>
      </c>
      <c r="C9" s="41"/>
      <c r="D9">
        <f t="shared" si="0"/>
        <v>23445</v>
      </c>
    </row>
    <row r="10" spans="1:4">
      <c r="A10" s="39" t="s">
        <v>61</v>
      </c>
      <c r="B10" s="40">
        <v>210000</v>
      </c>
      <c r="C10" s="41">
        <v>210000</v>
      </c>
      <c r="D10">
        <f t="shared" si="0"/>
        <v>0</v>
      </c>
    </row>
    <row r="11" spans="1:4">
      <c r="A11" s="39" t="s">
        <v>59</v>
      </c>
      <c r="B11" s="40">
        <v>28820</v>
      </c>
      <c r="C11" s="41">
        <v>28820</v>
      </c>
      <c r="D11">
        <f t="shared" si="0"/>
        <v>0</v>
      </c>
    </row>
    <row r="12" spans="1:4">
      <c r="A12" s="39" t="s">
        <v>65</v>
      </c>
      <c r="B12" s="40"/>
      <c r="C12" s="41">
        <v>-206839</v>
      </c>
      <c r="D12">
        <f t="shared" si="0"/>
        <v>206839</v>
      </c>
    </row>
    <row r="13" spans="1:4">
      <c r="A13" s="39" t="s">
        <v>44</v>
      </c>
      <c r="B13" s="40">
        <v>66368</v>
      </c>
      <c r="C13" s="41">
        <v>66368</v>
      </c>
      <c r="D13">
        <f t="shared" si="0"/>
        <v>0</v>
      </c>
    </row>
    <row r="14" spans="1:4">
      <c r="A14" s="39" t="s">
        <v>41</v>
      </c>
      <c r="B14" s="40"/>
      <c r="C14" s="41">
        <v>-306000</v>
      </c>
      <c r="D14">
        <f t="shared" si="0"/>
        <v>306000</v>
      </c>
    </row>
    <row r="15" spans="1:4">
      <c r="A15" s="39" t="s">
        <v>42</v>
      </c>
      <c r="B15" s="40"/>
      <c r="C15" s="41">
        <v>300000</v>
      </c>
      <c r="D15">
        <f t="shared" si="0"/>
        <v>-300000</v>
      </c>
    </row>
    <row r="16" spans="1:4">
      <c r="A16" s="39" t="s">
        <v>55</v>
      </c>
      <c r="B16" s="40">
        <v>13000</v>
      </c>
      <c r="C16" s="41">
        <v>13000</v>
      </c>
      <c r="D16">
        <f t="shared" si="0"/>
        <v>0</v>
      </c>
    </row>
    <row r="17" spans="1:4">
      <c r="A17" s="39" t="s">
        <v>69</v>
      </c>
      <c r="B17" s="40">
        <v>1300000</v>
      </c>
      <c r="C17" s="41">
        <v>1300000</v>
      </c>
      <c r="D17">
        <f t="shared" si="0"/>
        <v>0</v>
      </c>
    </row>
    <row r="18" spans="1:4">
      <c r="A18" s="39" t="s">
        <v>58</v>
      </c>
      <c r="B18" s="40">
        <v>13900</v>
      </c>
      <c r="C18" s="41">
        <v>13900</v>
      </c>
      <c r="D18">
        <f t="shared" si="0"/>
        <v>0</v>
      </c>
    </row>
    <row r="19" spans="1:4">
      <c r="A19" s="39" t="s">
        <v>120</v>
      </c>
      <c r="B19" s="40"/>
      <c r="C19" s="41"/>
      <c r="D19">
        <f t="shared" si="0"/>
        <v>0</v>
      </c>
    </row>
    <row r="20" spans="1:4">
      <c r="A20" s="42" t="s">
        <v>121</v>
      </c>
      <c r="B20" s="37">
        <v>5590675.24</v>
      </c>
      <c r="C20" s="43">
        <v>5354131.24</v>
      </c>
      <c r="D20">
        <f t="shared" si="0"/>
        <v>236544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A1" sqref="$A1:$XFD1048576"/>
    </sheetView>
  </sheetViews>
  <sheetFormatPr defaultColWidth="9" defaultRowHeight="13.5"/>
  <cols>
    <col min="2" max="2" width="9.625"/>
    <col min="6" max="7" width="9.625"/>
    <col min="9" max="9" width="10.375"/>
  </cols>
  <sheetData>
    <row r="1" spans="1:13">
      <c r="A1" s="1" t="s">
        <v>27</v>
      </c>
      <c r="B1" s="2" t="s">
        <v>28</v>
      </c>
      <c r="C1" s="3" t="s">
        <v>29</v>
      </c>
      <c r="D1" s="3" t="s">
        <v>30</v>
      </c>
      <c r="E1" s="3" t="s">
        <v>17</v>
      </c>
      <c r="F1" s="2" t="s">
        <v>31</v>
      </c>
      <c r="G1" s="2" t="s">
        <v>15</v>
      </c>
      <c r="H1" s="3" t="s">
        <v>32</v>
      </c>
      <c r="I1" s="2" t="s">
        <v>33</v>
      </c>
      <c r="J1" s="3" t="s">
        <v>21</v>
      </c>
      <c r="K1" s="24" t="s">
        <v>34</v>
      </c>
      <c r="L1" s="25" t="s">
        <v>35</v>
      </c>
      <c r="M1" s="25" t="s">
        <v>36</v>
      </c>
    </row>
    <row r="2" spans="1:13">
      <c r="A2" s="1"/>
      <c r="B2" s="3"/>
      <c r="C2" s="3"/>
      <c r="D2" s="3"/>
      <c r="E2" s="4"/>
      <c r="F2" s="3"/>
      <c r="G2" s="5"/>
      <c r="H2" s="6" t="s">
        <v>39</v>
      </c>
      <c r="I2" s="8">
        <v>-300000</v>
      </c>
      <c r="J2" s="26" t="s">
        <v>40</v>
      </c>
      <c r="K2" s="27" t="s">
        <v>41</v>
      </c>
      <c r="L2" s="25"/>
      <c r="M2" s="25"/>
    </row>
    <row r="3" spans="1:13">
      <c r="A3" s="1"/>
      <c r="B3" s="3"/>
      <c r="C3" s="3"/>
      <c r="D3" s="3"/>
      <c r="E3" s="4"/>
      <c r="F3" s="3"/>
      <c r="G3" s="5"/>
      <c r="H3" s="6" t="s">
        <v>39</v>
      </c>
      <c r="I3" s="8">
        <v>300000</v>
      </c>
      <c r="J3" s="26" t="s">
        <v>23</v>
      </c>
      <c r="K3" s="27" t="s">
        <v>42</v>
      </c>
      <c r="L3" s="25"/>
      <c r="M3" s="25"/>
    </row>
    <row r="4" spans="1:13">
      <c r="A4" s="1"/>
      <c r="B4" s="3"/>
      <c r="C4" s="3"/>
      <c r="D4" s="3"/>
      <c r="E4" s="4"/>
      <c r="F4" s="3"/>
      <c r="G4" s="5"/>
      <c r="H4" s="6" t="s">
        <v>43</v>
      </c>
      <c r="I4" s="8">
        <v>-6000</v>
      </c>
      <c r="J4" s="26" t="s">
        <v>40</v>
      </c>
      <c r="K4" s="27" t="s">
        <v>41</v>
      </c>
      <c r="L4" s="25"/>
      <c r="M4" s="25"/>
    </row>
    <row r="5" spans="1:13">
      <c r="A5" s="1"/>
      <c r="B5" s="3"/>
      <c r="C5" s="3"/>
      <c r="D5" s="3"/>
      <c r="E5" s="4"/>
      <c r="F5" s="3"/>
      <c r="G5" s="5"/>
      <c r="H5" s="6" t="s">
        <v>43</v>
      </c>
      <c r="I5" s="8">
        <v>6000</v>
      </c>
      <c r="J5" s="26" t="s">
        <v>23</v>
      </c>
      <c r="K5" s="27" t="s">
        <v>44</v>
      </c>
      <c r="L5" s="25"/>
      <c r="M5" s="25"/>
    </row>
    <row r="6" spans="1:13">
      <c r="A6" s="7">
        <v>43525</v>
      </c>
      <c r="B6" s="8">
        <f t="shared" ref="B6:B30" si="0">ROUND(G6/(1+E6),2)</f>
        <v>22117.92</v>
      </c>
      <c r="C6" s="9"/>
      <c r="D6" s="10" t="s">
        <v>45</v>
      </c>
      <c r="E6" s="4">
        <v>0.06</v>
      </c>
      <c r="F6" s="8">
        <f t="shared" ref="F6:F30" si="1">ROUND(G6/(1+E6)*E6,2)</f>
        <v>1327.08</v>
      </c>
      <c r="G6" s="5">
        <v>23445</v>
      </c>
      <c r="H6" s="6"/>
      <c r="I6" s="8"/>
      <c r="J6" s="26"/>
      <c r="K6" s="27" t="s">
        <v>46</v>
      </c>
      <c r="L6" s="28" t="s">
        <v>47</v>
      </c>
      <c r="M6" s="26"/>
    </row>
    <row r="7" spans="1:13">
      <c r="A7" s="7">
        <v>43525</v>
      </c>
      <c r="B7" s="8">
        <f t="shared" si="0"/>
        <v>260</v>
      </c>
      <c r="C7" s="9"/>
      <c r="D7" s="10" t="s">
        <v>48</v>
      </c>
      <c r="E7" s="4"/>
      <c r="F7" s="8">
        <f t="shared" si="1"/>
        <v>0</v>
      </c>
      <c r="G7" s="5">
        <f>200+60</f>
        <v>260</v>
      </c>
      <c r="H7" s="6"/>
      <c r="I7" s="8"/>
      <c r="J7" s="26"/>
      <c r="K7" s="27" t="s">
        <v>49</v>
      </c>
      <c r="L7" s="28" t="s">
        <v>50</v>
      </c>
      <c r="M7" s="26"/>
    </row>
    <row r="8" spans="1:13">
      <c r="A8" s="7">
        <v>43525</v>
      </c>
      <c r="B8" s="8">
        <f t="shared" si="0"/>
        <v>338371.93</v>
      </c>
      <c r="C8" s="9"/>
      <c r="D8" s="10" t="s">
        <v>45</v>
      </c>
      <c r="E8" s="4">
        <v>0.16</v>
      </c>
      <c r="F8" s="8">
        <f t="shared" si="1"/>
        <v>54139.51</v>
      </c>
      <c r="G8" s="5">
        <f>96255.72*2+100000*2</f>
        <v>392511.44</v>
      </c>
      <c r="H8" s="6">
        <v>43551</v>
      </c>
      <c r="I8" s="8">
        <f>96255.72*2+100000*2</f>
        <v>392511.44</v>
      </c>
      <c r="J8" s="26" t="s">
        <v>23</v>
      </c>
      <c r="K8" s="27" t="s">
        <v>51</v>
      </c>
      <c r="L8" s="28" t="s">
        <v>52</v>
      </c>
      <c r="M8" s="26" t="s">
        <v>53</v>
      </c>
    </row>
    <row r="9" spans="1:13">
      <c r="A9" s="7">
        <v>43525</v>
      </c>
      <c r="B9" s="8">
        <f t="shared" si="0"/>
        <v>12621.36</v>
      </c>
      <c r="C9" s="9"/>
      <c r="D9" s="10" t="s">
        <v>54</v>
      </c>
      <c r="E9" s="4">
        <v>0.03</v>
      </c>
      <c r="F9" s="8">
        <f t="shared" si="1"/>
        <v>378.64</v>
      </c>
      <c r="G9" s="5">
        <v>13000</v>
      </c>
      <c r="H9" s="6">
        <v>43557</v>
      </c>
      <c r="I9" s="8">
        <v>13000</v>
      </c>
      <c r="J9" s="26" t="s">
        <v>23</v>
      </c>
      <c r="K9" s="27" t="s">
        <v>55</v>
      </c>
      <c r="L9" s="28" t="s">
        <v>56</v>
      </c>
      <c r="M9" s="26" t="s">
        <v>53</v>
      </c>
    </row>
    <row r="10" spans="1:13">
      <c r="A10" s="7">
        <v>43525</v>
      </c>
      <c r="B10" s="8">
        <f t="shared" si="0"/>
        <v>13495.15</v>
      </c>
      <c r="C10" s="9"/>
      <c r="D10" s="10" t="s">
        <v>54</v>
      </c>
      <c r="E10" s="4">
        <v>0.03</v>
      </c>
      <c r="F10" s="8">
        <f t="shared" si="1"/>
        <v>404.85</v>
      </c>
      <c r="G10" s="5">
        <v>13900</v>
      </c>
      <c r="H10" s="6">
        <v>43557</v>
      </c>
      <c r="I10" s="8">
        <v>13900</v>
      </c>
      <c r="J10" s="26" t="s">
        <v>23</v>
      </c>
      <c r="K10" s="27" t="s">
        <v>58</v>
      </c>
      <c r="L10" s="28" t="s">
        <v>56</v>
      </c>
      <c r="M10" s="26" t="s">
        <v>53</v>
      </c>
    </row>
    <row r="11" spans="1:13">
      <c r="A11" s="7">
        <v>43525</v>
      </c>
      <c r="B11" s="11">
        <f t="shared" si="0"/>
        <v>27980.58</v>
      </c>
      <c r="C11" s="12"/>
      <c r="D11" s="10" t="s">
        <v>54</v>
      </c>
      <c r="E11" s="13">
        <v>0.03</v>
      </c>
      <c r="F11" s="11">
        <f t="shared" si="1"/>
        <v>839.42</v>
      </c>
      <c r="G11" s="14">
        <v>28820</v>
      </c>
      <c r="H11" s="6">
        <v>43557</v>
      </c>
      <c r="I11" s="8">
        <v>28820</v>
      </c>
      <c r="J11" s="26" t="s">
        <v>23</v>
      </c>
      <c r="K11" s="29" t="s">
        <v>59</v>
      </c>
      <c r="L11" s="30" t="s">
        <v>60</v>
      </c>
      <c r="M11" s="31" t="s">
        <v>53</v>
      </c>
    </row>
    <row r="12" spans="1:13">
      <c r="A12" s="7">
        <v>43525</v>
      </c>
      <c r="B12" s="11">
        <f t="shared" si="0"/>
        <v>210000</v>
      </c>
      <c r="C12" s="12"/>
      <c r="D12" s="10" t="s">
        <v>48</v>
      </c>
      <c r="E12" s="13"/>
      <c r="F12" s="11">
        <f t="shared" si="1"/>
        <v>0</v>
      </c>
      <c r="G12" s="14">
        <v>210000</v>
      </c>
      <c r="H12" s="6">
        <v>43557</v>
      </c>
      <c r="I12" s="8">
        <v>210000</v>
      </c>
      <c r="J12" s="26" t="s">
        <v>23</v>
      </c>
      <c r="K12" s="29" t="s">
        <v>61</v>
      </c>
      <c r="L12" s="30" t="s">
        <v>62</v>
      </c>
      <c r="M12" s="31" t="s">
        <v>53</v>
      </c>
    </row>
    <row r="13" spans="1:13">
      <c r="A13" s="15"/>
      <c r="B13" s="11">
        <f t="shared" si="0"/>
        <v>0</v>
      </c>
      <c r="C13" s="12"/>
      <c r="D13" s="10"/>
      <c r="E13" s="13"/>
      <c r="F13" s="11">
        <f t="shared" si="1"/>
        <v>0</v>
      </c>
      <c r="G13" s="14"/>
      <c r="H13" s="6">
        <v>43557</v>
      </c>
      <c r="I13" s="8">
        <v>110839</v>
      </c>
      <c r="J13" s="26" t="s">
        <v>23</v>
      </c>
      <c r="K13" s="29" t="s">
        <v>63</v>
      </c>
      <c r="L13" s="30" t="s">
        <v>64</v>
      </c>
      <c r="M13" s="31"/>
    </row>
    <row r="14" spans="1:13">
      <c r="A14" s="15"/>
      <c r="B14" s="11">
        <f t="shared" si="0"/>
        <v>0</v>
      </c>
      <c r="C14" s="12"/>
      <c r="D14" s="16"/>
      <c r="E14" s="13"/>
      <c r="F14" s="11">
        <f t="shared" si="1"/>
        <v>0</v>
      </c>
      <c r="G14" s="14"/>
      <c r="H14" s="6">
        <v>43557</v>
      </c>
      <c r="I14" s="8">
        <v>-110839</v>
      </c>
      <c r="J14" s="26" t="s">
        <v>40</v>
      </c>
      <c r="K14" s="29" t="s">
        <v>65</v>
      </c>
      <c r="L14" s="30"/>
      <c r="M14" s="31"/>
    </row>
    <row r="15" spans="1:13">
      <c r="A15" s="7">
        <v>43556</v>
      </c>
      <c r="B15" s="11">
        <f t="shared" si="0"/>
        <v>141450.44</v>
      </c>
      <c r="C15" s="12"/>
      <c r="D15" s="16" t="s">
        <v>45</v>
      </c>
      <c r="E15" s="13">
        <v>0.13</v>
      </c>
      <c r="F15" s="11">
        <f t="shared" si="1"/>
        <v>18388.56</v>
      </c>
      <c r="G15" s="14">
        <f>68399+91440</f>
        <v>159839</v>
      </c>
      <c r="H15" s="6">
        <v>43558</v>
      </c>
      <c r="I15" s="8">
        <v>49000</v>
      </c>
      <c r="J15" s="26" t="s">
        <v>23</v>
      </c>
      <c r="K15" s="29" t="s">
        <v>63</v>
      </c>
      <c r="L15" s="30" t="s">
        <v>64</v>
      </c>
      <c r="M15" s="31"/>
    </row>
    <row r="16" spans="1:13">
      <c r="A16" s="15"/>
      <c r="B16" s="11">
        <f t="shared" si="0"/>
        <v>0</v>
      </c>
      <c r="C16" s="12"/>
      <c r="D16" s="16"/>
      <c r="E16" s="13"/>
      <c r="F16" s="11">
        <f t="shared" si="1"/>
        <v>0</v>
      </c>
      <c r="G16" s="14"/>
      <c r="H16" s="6">
        <v>43558</v>
      </c>
      <c r="I16" s="8">
        <v>-49000</v>
      </c>
      <c r="J16" s="26" t="s">
        <v>40</v>
      </c>
      <c r="K16" s="29" t="s">
        <v>65</v>
      </c>
      <c r="L16" s="30"/>
      <c r="M16" s="31"/>
    </row>
    <row r="17" spans="1:13">
      <c r="A17" s="15">
        <v>43556</v>
      </c>
      <c r="B17" s="11">
        <f t="shared" si="0"/>
        <v>619469.03</v>
      </c>
      <c r="C17" s="12"/>
      <c r="D17" s="16" t="s">
        <v>45</v>
      </c>
      <c r="E17" s="13">
        <v>0.13</v>
      </c>
      <c r="F17" s="11">
        <f t="shared" si="1"/>
        <v>80530.97</v>
      </c>
      <c r="G17" s="14">
        <f>100000*7</f>
        <v>700000</v>
      </c>
      <c r="H17" s="6">
        <v>43592</v>
      </c>
      <c r="I17" s="8">
        <v>700000</v>
      </c>
      <c r="J17" s="26" t="s">
        <v>23</v>
      </c>
      <c r="K17" s="27" t="s">
        <v>51</v>
      </c>
      <c r="L17" s="30" t="s">
        <v>66</v>
      </c>
      <c r="M17" s="31" t="s">
        <v>53</v>
      </c>
    </row>
    <row r="18" spans="1:13">
      <c r="A18" s="15">
        <v>43558</v>
      </c>
      <c r="B18" s="11">
        <f t="shared" si="0"/>
        <v>18803.88</v>
      </c>
      <c r="C18" s="12"/>
      <c r="D18" s="16" t="s">
        <v>45</v>
      </c>
      <c r="E18" s="13">
        <v>0.03</v>
      </c>
      <c r="F18" s="11">
        <f t="shared" si="1"/>
        <v>564.12</v>
      </c>
      <c r="G18" s="14">
        <f>6000+6000+7368</f>
        <v>19368</v>
      </c>
      <c r="H18" s="6">
        <v>43592</v>
      </c>
      <c r="I18" s="8">
        <v>13368</v>
      </c>
      <c r="J18" s="26" t="s">
        <v>23</v>
      </c>
      <c r="K18" s="27" t="s">
        <v>44</v>
      </c>
      <c r="L18" s="28" t="s">
        <v>68</v>
      </c>
      <c r="M18" s="31" t="s">
        <v>53</v>
      </c>
    </row>
    <row r="19" spans="1:13">
      <c r="A19" s="15">
        <v>43556</v>
      </c>
      <c r="B19" s="11">
        <f t="shared" si="0"/>
        <v>500000</v>
      </c>
      <c r="C19" s="12"/>
      <c r="D19" s="16" t="s">
        <v>48</v>
      </c>
      <c r="E19" s="13"/>
      <c r="F19" s="11">
        <f t="shared" si="1"/>
        <v>0</v>
      </c>
      <c r="G19" s="14">
        <v>500000</v>
      </c>
      <c r="H19" s="6">
        <v>43592</v>
      </c>
      <c r="I19" s="8">
        <v>411640.75</v>
      </c>
      <c r="J19" s="26" t="s">
        <v>23</v>
      </c>
      <c r="K19" s="27" t="s">
        <v>69</v>
      </c>
      <c r="L19" s="28" t="s">
        <v>70</v>
      </c>
      <c r="M19" s="31" t="s">
        <v>53</v>
      </c>
    </row>
    <row r="20" spans="1:13">
      <c r="A20" s="15">
        <v>43556</v>
      </c>
      <c r="B20" s="11">
        <f t="shared" si="0"/>
        <v>485172.73</v>
      </c>
      <c r="C20" s="12"/>
      <c r="D20" s="16" t="s">
        <v>45</v>
      </c>
      <c r="E20" s="13">
        <v>0.1</v>
      </c>
      <c r="F20" s="11">
        <f t="shared" si="1"/>
        <v>48517.27</v>
      </c>
      <c r="G20" s="14">
        <v>533690</v>
      </c>
      <c r="H20" s="6">
        <v>43592</v>
      </c>
      <c r="I20" s="8">
        <v>533690</v>
      </c>
      <c r="J20" s="26" t="s">
        <v>23</v>
      </c>
      <c r="K20" s="27" t="s">
        <v>71</v>
      </c>
      <c r="L20" s="28" t="s">
        <v>72</v>
      </c>
      <c r="M20" s="31" t="s">
        <v>53</v>
      </c>
    </row>
    <row r="21" spans="1:13">
      <c r="A21" s="17">
        <v>43617</v>
      </c>
      <c r="B21" s="18">
        <f t="shared" si="0"/>
        <v>840707.96</v>
      </c>
      <c r="C21" s="19"/>
      <c r="D21" s="20" t="s">
        <v>45</v>
      </c>
      <c r="E21" s="13">
        <v>0.13</v>
      </c>
      <c r="F21" s="18">
        <f t="shared" si="1"/>
        <v>109292.04</v>
      </c>
      <c r="G21" s="14">
        <v>950000</v>
      </c>
      <c r="H21" s="21">
        <v>43649</v>
      </c>
      <c r="I21" s="18">
        <v>919827.77</v>
      </c>
      <c r="J21" s="26" t="s">
        <v>23</v>
      </c>
      <c r="K21" s="32" t="s">
        <v>51</v>
      </c>
      <c r="L21" s="33" t="s">
        <v>74</v>
      </c>
      <c r="M21" s="31" t="s">
        <v>53</v>
      </c>
    </row>
    <row r="22" spans="1:13">
      <c r="A22" s="15">
        <v>43617</v>
      </c>
      <c r="B22" s="11">
        <f t="shared" si="0"/>
        <v>733944.95</v>
      </c>
      <c r="C22" s="12"/>
      <c r="D22" s="16" t="s">
        <v>45</v>
      </c>
      <c r="E22" s="13">
        <v>0.09</v>
      </c>
      <c r="F22" s="11">
        <f t="shared" si="1"/>
        <v>66055.05</v>
      </c>
      <c r="G22" s="14">
        <f>37686.7+108901.9*7</f>
        <v>800000</v>
      </c>
      <c r="H22" s="6">
        <v>43644</v>
      </c>
      <c r="I22" s="8">
        <f>37686.7+108901.9*7</f>
        <v>800000</v>
      </c>
      <c r="J22" s="26" t="s">
        <v>23</v>
      </c>
      <c r="K22" s="27" t="s">
        <v>71</v>
      </c>
      <c r="L22" s="28" t="s">
        <v>72</v>
      </c>
      <c r="M22" s="31" t="s">
        <v>53</v>
      </c>
    </row>
    <row r="23" spans="1:13">
      <c r="A23" s="15">
        <v>43617</v>
      </c>
      <c r="B23" s="11">
        <f t="shared" si="0"/>
        <v>800000</v>
      </c>
      <c r="C23" s="12"/>
      <c r="D23" s="16" t="s">
        <v>48</v>
      </c>
      <c r="E23" s="13"/>
      <c r="F23" s="11">
        <f t="shared" si="1"/>
        <v>0</v>
      </c>
      <c r="G23" s="14">
        <v>800000</v>
      </c>
      <c r="H23" s="6">
        <v>43644</v>
      </c>
      <c r="I23" s="8">
        <v>800000</v>
      </c>
      <c r="J23" s="26" t="s">
        <v>23</v>
      </c>
      <c r="K23" s="27" t="s">
        <v>69</v>
      </c>
      <c r="L23" s="28" t="s">
        <v>70</v>
      </c>
      <c r="M23" s="31"/>
    </row>
    <row r="24" spans="1:13">
      <c r="A24" s="15">
        <v>43770</v>
      </c>
      <c r="B24" s="11">
        <f t="shared" si="0"/>
        <v>45631.07</v>
      </c>
      <c r="C24" s="12"/>
      <c r="D24" s="16" t="s">
        <v>45</v>
      </c>
      <c r="E24" s="22">
        <v>0.03</v>
      </c>
      <c r="F24" s="11">
        <f t="shared" si="1"/>
        <v>1368.93</v>
      </c>
      <c r="G24" s="14">
        <v>47000</v>
      </c>
      <c r="H24" s="6">
        <v>43686</v>
      </c>
      <c r="I24" s="8">
        <v>47000</v>
      </c>
      <c r="J24" s="26" t="s">
        <v>23</v>
      </c>
      <c r="K24" s="29" t="s">
        <v>44</v>
      </c>
      <c r="L24" s="28" t="s">
        <v>75</v>
      </c>
      <c r="M24" s="31" t="s">
        <v>53</v>
      </c>
    </row>
    <row r="25" spans="1:13">
      <c r="A25" s="15"/>
      <c r="B25" s="11">
        <f t="shared" si="0"/>
        <v>0</v>
      </c>
      <c r="C25" s="12"/>
      <c r="D25" s="16"/>
      <c r="E25" s="13"/>
      <c r="F25" s="11">
        <f t="shared" si="1"/>
        <v>0</v>
      </c>
      <c r="G25" s="14"/>
      <c r="H25" s="6">
        <v>43686</v>
      </c>
      <c r="I25" s="8">
        <v>-47000</v>
      </c>
      <c r="J25" s="26" t="s">
        <v>40</v>
      </c>
      <c r="K25" s="29" t="s">
        <v>65</v>
      </c>
      <c r="L25" s="28"/>
      <c r="M25" s="31"/>
    </row>
    <row r="26" spans="1:13">
      <c r="A26" s="15">
        <v>43770</v>
      </c>
      <c r="B26" s="11">
        <f t="shared" si="0"/>
        <v>129870.62</v>
      </c>
      <c r="C26" s="12"/>
      <c r="D26" s="16" t="s">
        <v>45</v>
      </c>
      <c r="E26" s="22">
        <v>0.13</v>
      </c>
      <c r="F26" s="11">
        <f t="shared" si="1"/>
        <v>16883.18</v>
      </c>
      <c r="G26" s="14">
        <v>146753.8</v>
      </c>
      <c r="H26" s="6"/>
      <c r="I26" s="8"/>
      <c r="J26" s="26"/>
      <c r="K26" s="27" t="s">
        <v>51</v>
      </c>
      <c r="L26" s="28" t="s">
        <v>76</v>
      </c>
      <c r="M26" s="31" t="s">
        <v>53</v>
      </c>
    </row>
    <row r="27" spans="1:13">
      <c r="A27" s="15">
        <v>43770</v>
      </c>
      <c r="B27" s="11">
        <f t="shared" si="0"/>
        <v>231273.39</v>
      </c>
      <c r="C27" s="12"/>
      <c r="D27" s="20" t="s">
        <v>45</v>
      </c>
      <c r="E27" s="22">
        <v>0.09</v>
      </c>
      <c r="F27" s="11">
        <f t="shared" si="1"/>
        <v>20814.61</v>
      </c>
      <c r="G27" s="14">
        <v>252088</v>
      </c>
      <c r="H27" s="6"/>
      <c r="I27" s="8"/>
      <c r="J27" s="26"/>
      <c r="K27" s="27" t="s">
        <v>71</v>
      </c>
      <c r="L27" s="28" t="s">
        <v>72</v>
      </c>
      <c r="M27" s="31" t="s">
        <v>53</v>
      </c>
    </row>
    <row r="28" spans="1:13">
      <c r="A28" s="15"/>
      <c r="B28" s="11">
        <f t="shared" si="0"/>
        <v>0</v>
      </c>
      <c r="C28" s="12"/>
      <c r="D28" s="16"/>
      <c r="E28" s="22"/>
      <c r="F28" s="11">
        <f t="shared" si="1"/>
        <v>0</v>
      </c>
      <c r="G28" s="14"/>
      <c r="H28" s="23">
        <v>44022</v>
      </c>
      <c r="I28" s="11">
        <v>252088</v>
      </c>
      <c r="J28" s="31"/>
      <c r="K28" s="29" t="s">
        <v>71</v>
      </c>
      <c r="L28" s="30" t="s">
        <v>77</v>
      </c>
      <c r="M28" s="31"/>
    </row>
    <row r="29" spans="1:13">
      <c r="A29" s="15"/>
      <c r="B29" s="11">
        <f t="shared" si="0"/>
        <v>0</v>
      </c>
      <c r="C29" s="12"/>
      <c r="D29" s="16"/>
      <c r="E29" s="13"/>
      <c r="F29" s="11">
        <f t="shared" si="1"/>
        <v>0</v>
      </c>
      <c r="G29" s="14"/>
      <c r="H29" s="23">
        <v>44022</v>
      </c>
      <c r="I29" s="11">
        <v>176926.03</v>
      </c>
      <c r="J29" s="31"/>
      <c r="K29" s="29" t="s">
        <v>51</v>
      </c>
      <c r="L29" s="30" t="s">
        <v>78</v>
      </c>
      <c r="M29" s="31"/>
    </row>
    <row r="30" spans="1:13">
      <c r="A30" s="15"/>
      <c r="B30" s="11">
        <f t="shared" si="0"/>
        <v>0</v>
      </c>
      <c r="C30" s="12"/>
      <c r="D30" s="16"/>
      <c r="E30" s="13"/>
      <c r="F30" s="11">
        <f t="shared" si="1"/>
        <v>0</v>
      </c>
      <c r="G30" s="14"/>
      <c r="H30" s="23">
        <v>44022</v>
      </c>
      <c r="I30" s="11">
        <v>88359.25</v>
      </c>
      <c r="J30" s="31"/>
      <c r="K30" s="29" t="s">
        <v>69</v>
      </c>
      <c r="L30" s="30" t="s">
        <v>79</v>
      </c>
      <c r="M30" s="3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</vt:lpstr>
      <vt:lpstr>旧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WPS_1680575033</cp:lastModifiedBy>
  <dcterms:created xsi:type="dcterms:W3CDTF">2016-07-12T06:03:00Z</dcterms:created>
  <cp:lastPrinted>2016-11-23T10:22:00Z</cp:lastPrinted>
  <dcterms:modified xsi:type="dcterms:W3CDTF">2024-01-18T07:48:50Z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BF238F632FCB405994070F68651D57BC</vt:lpwstr>
  </property>
</Properties>
</file>