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4" r:id="rId1"/>
  </sheets>
  <definedNames>
    <definedName name="_xlnm._FilterDatabase" localSheetId="0" hidden="1">Sheet1!$A$13:$S$86</definedName>
  </definedNames>
  <calcPr calcId="144525"/>
</workbook>
</file>

<file path=xl/comments1.xml><?xml version="1.0" encoding="utf-8"?>
<comments xmlns="http://schemas.openxmlformats.org/spreadsheetml/2006/main">
  <authors>
    <author>cw015</author>
    <author>cw05</author>
  </authors>
  <commentList>
    <comment ref="A43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开票日期2018.12</t>
        </r>
      </text>
    </comment>
    <comment ref="A45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开票日期2019.1</t>
        </r>
      </text>
    </comment>
    <comment ref="A77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8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<sst xmlns="http://schemas.openxmlformats.org/spreadsheetml/2006/main" count="218" uniqueCount="102">
  <si>
    <t>乐昌峡库周公路三期（瑶森水厂至桂花坑）硬底化工程（k0+000.00-k21+335.000）</t>
  </si>
  <si>
    <t>中标日期</t>
  </si>
  <si>
    <t>2018.9.21</t>
  </si>
  <si>
    <t>中标价</t>
  </si>
  <si>
    <t>负责人</t>
  </si>
  <si>
    <t>林楚定</t>
  </si>
  <si>
    <t>建设单位</t>
  </si>
  <si>
    <t>乐昌市交通建设投资有限公司</t>
  </si>
  <si>
    <t>决算日期</t>
  </si>
  <si>
    <t>决算价</t>
  </si>
  <si>
    <t>企税0.6%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</si>
  <si>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</si>
  <si>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</si>
  <si>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</si>
  <si>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</si>
  <si>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</si>
  <si>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</si>
  <si>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</si>
  <si>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</si>
  <si>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</si>
  <si>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</si>
  <si>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</si>
  <si>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</si>
  <si>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</si>
  <si>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</si>
  <si>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</si>
  <si>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</si>
  <si>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</si>
  <si>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</si>
  <si>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</si>
  <si>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</si>
  <si>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</si>
  <si>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</si>
  <si>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</si>
  <si>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</si>
  <si>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</si>
  <si>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</si>
  <si>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</si>
  <si>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</si>
  <si>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广州市财贸建设开发监理有限公司韶关分公司</t>
  </si>
  <si>
    <t>服务费</t>
  </si>
  <si>
    <t>专</t>
  </si>
  <si>
    <t>华安财产保险股份有限公司广东分公司韶关中心支公司</t>
  </si>
  <si>
    <t>保险费</t>
  </si>
  <si>
    <t>徽行</t>
  </si>
  <si>
    <t>杨佰恩</t>
  </si>
  <si>
    <t>乐昌市汇力水泥有限公司</t>
  </si>
  <si>
    <t>水泥</t>
  </si>
  <si>
    <t>乐昌市坪石镇烨林商品混凝土有限公司</t>
  </si>
  <si>
    <t>混凝土</t>
  </si>
  <si>
    <t>韶关市众匠建筑劳务有限公司</t>
  </si>
  <si>
    <t>工程劳务</t>
  </si>
  <si>
    <t>江西新旺工程设备租赁有限公司</t>
  </si>
  <si>
    <t>设备租赁费</t>
  </si>
  <si>
    <t>乐昌景禾贸易有限责任公司</t>
  </si>
  <si>
    <t>钢材</t>
  </si>
  <si>
    <t>韶关市东驰贸易有限公司</t>
  </si>
  <si>
    <t>退材料款</t>
  </si>
  <si>
    <t>冠县路翔交通设施有限公司</t>
  </si>
  <si>
    <t>护栏</t>
  </si>
  <si>
    <t>韶关市雅丽装饰工程材料有限公司</t>
  </si>
  <si>
    <t>模板</t>
  </si>
  <si>
    <t>普代</t>
  </si>
  <si>
    <t>张丽红</t>
  </si>
  <si>
    <t>碎石沙</t>
  </si>
  <si>
    <t>邓良凤</t>
  </si>
  <si>
    <t>砂、碎石</t>
  </si>
  <si>
    <t>商品混凝土</t>
  </si>
  <si>
    <t>中国人民财产保险股份有限公司韶关市分公司</t>
  </si>
  <si>
    <t>履约保证金保险投单</t>
  </si>
  <si>
    <t>合作人原件遗失补复印件</t>
  </si>
  <si>
    <t>暂扣</t>
  </si>
  <si>
    <t>成本不够</t>
  </si>
  <si>
    <t>退</t>
  </si>
  <si>
    <t>扣</t>
  </si>
  <si>
    <t>水利基金</t>
  </si>
  <si>
    <t>企税（按照0.6%扣）</t>
  </si>
  <si>
    <t>暂扣企税</t>
  </si>
  <si>
    <t xml:space="preserve"> </t>
  </si>
  <si>
    <t xml:space="preserve">企税 </t>
  </si>
  <si>
    <t>企税1.6%</t>
  </si>
  <si>
    <t>增值税及附加</t>
  </si>
  <si>
    <t>管理费</t>
  </si>
  <si>
    <t>代办费</t>
  </si>
  <si>
    <t>应提供成本</t>
  </si>
  <si>
    <t>可支付金额</t>
  </si>
  <si>
    <t>尚需提供成本</t>
  </si>
  <si>
    <t>公司代缴税金：</t>
  </si>
  <si>
    <t>税种</t>
  </si>
  <si>
    <t>税额</t>
  </si>
  <si>
    <t>18.11月开票扣税</t>
  </si>
  <si>
    <t>18.12月开票扣税</t>
  </si>
  <si>
    <t>21.8开票税金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</si>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</sst>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/m/d;@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77" fontId="2" fillId="3" borderId="2" xfId="0" applyNumberFormat="1" applyFont="1" applyFill="1" applyBorder="1" applyAlignment="1">
      <alignment vertical="center"/>
    </xf>
    <xf numFmtId="9" fontId="1" fillId="5" borderId="2" xfId="11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4" borderId="3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800100</xdr:colOff>
      <xdr:row>72</xdr:row>
      <xdr:rowOff>142875</xdr:rowOff>
    </xdr:from>
    <xdr:to>
      <xdr:col>16</xdr:col>
      <xdr:colOff>542925</xdr:colOff>
      <xdr:row>75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6850" y="16661765"/>
          <a:ext cx="59817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400050</xdr:colOff>
      <xdr:row>7</xdr:row>
      <xdr:rowOff>209550</xdr:rowOff>
    </xdr:from>
    <xdr:to>
      <xdr:col>19</xdr:col>
      <xdr:colOff>219075</xdr:colOff>
      <xdr:row>9</xdr:row>
      <xdr:rowOff>209550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86800" y="1859915"/>
          <a:ext cx="811530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abSelected="1" topLeftCell="A4" workbookViewId="0">
      <pane ySplit="10" topLeftCell="A59" activePane="bottomLeft" state="frozen"/>
      <selection/>
      <selection pane="bottomLeft" activeCell="J57" sqref="J5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2.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14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 t="s">
        <v>2</v>
      </c>
      <c r="C2" s="11" t="s">
        <v>3</v>
      </c>
      <c r="D2" s="12">
        <v>22989509</v>
      </c>
      <c r="E2" s="13" t="s">
        <v>4</v>
      </c>
      <c r="F2" s="14" t="s">
        <v>5</v>
      </c>
      <c r="G2" s="15" t="s">
        <v>6</v>
      </c>
      <c r="H2" s="16" t="s">
        <v>7</v>
      </c>
      <c r="I2" s="46"/>
      <c r="J2" s="47"/>
      <c r="K2" s="18"/>
      <c r="L2" s="18"/>
    </row>
    <row r="3" ht="18" customHeight="1" spans="1:17">
      <c r="A3" s="9" t="s">
        <v>8</v>
      </c>
      <c r="B3" s="17"/>
      <c r="C3" s="11" t="s">
        <v>9</v>
      </c>
      <c r="D3" s="11"/>
      <c r="H3" s="18"/>
      <c r="I3" s="48"/>
      <c r="J3" s="18"/>
      <c r="K3" s="18"/>
      <c r="L3" s="18"/>
      <c r="Q3" s="59" t="s">
        <v>10</v>
      </c>
    </row>
    <row r="4" ht="18" customHeight="1" spans="1:12">
      <c r="A4" s="2" t="s">
        <v>11</v>
      </c>
      <c r="H4" s="18"/>
      <c r="I4" s="48"/>
      <c r="J4" s="18"/>
      <c r="K4" s="18"/>
      <c r="L4" s="18"/>
    </row>
    <row r="5" ht="18" customHeight="1" spans="1:12">
      <c r="A5" s="19" t="s">
        <v>12</v>
      </c>
      <c r="B5" s="20" t="s">
        <v>13</v>
      </c>
      <c r="C5" s="19" t="s">
        <v>14</v>
      </c>
      <c r="D5" s="19"/>
      <c r="E5" s="19" t="s">
        <v>15</v>
      </c>
      <c r="F5" s="20"/>
      <c r="G5" s="20" t="s">
        <v>16</v>
      </c>
      <c r="H5" s="21" t="s">
        <v>17</v>
      </c>
      <c r="I5" s="20"/>
      <c r="J5" s="21"/>
      <c r="K5" s="6">
        <v>-50362.971818182</v>
      </c>
      <c r="L5" s="6">
        <v>422706.93</v>
      </c>
    </row>
    <row r="6" ht="18" customHeight="1" spans="1:12">
      <c r="A6" s="19"/>
      <c r="B6" s="20"/>
      <c r="C6" s="19" t="s">
        <v>18</v>
      </c>
      <c r="D6" s="19" t="s">
        <v>19</v>
      </c>
      <c r="E6" s="19" t="s">
        <v>18</v>
      </c>
      <c r="F6" s="20" t="s">
        <v>19</v>
      </c>
      <c r="G6" s="20"/>
      <c r="H6" s="21" t="s">
        <v>20</v>
      </c>
      <c r="I6" s="20" t="s">
        <v>21</v>
      </c>
      <c r="J6" s="21" t="s">
        <v>22</v>
      </c>
      <c r="K6" s="6">
        <f>F9-L5</f>
        <v>-60525.111818182</v>
      </c>
      <c r="L6" s="6">
        <v>748630.49</v>
      </c>
    </row>
    <row r="7" ht="18" customHeight="1" spans="1:11">
      <c r="A7" s="22">
        <v>43417</v>
      </c>
      <c r="B7" s="23">
        <f t="shared" ref="B7:B8" si="0">G7/(1+C7+E7)</f>
        <v>4090909.09090909</v>
      </c>
      <c r="C7" s="24">
        <v>0.02</v>
      </c>
      <c r="D7" s="25">
        <f t="shared" ref="D7:D8" si="1">G7/(1+E7+C7)*C7</f>
        <v>81818.1818181818</v>
      </c>
      <c r="E7" s="24">
        <v>0.08</v>
      </c>
      <c r="F7" s="23">
        <f t="shared" ref="F7:F8" si="2">G7/(1+C7+E7)*E7</f>
        <v>327272.727272727</v>
      </c>
      <c r="G7" s="26">
        <v>4500000</v>
      </c>
      <c r="H7" s="22">
        <v>43432</v>
      </c>
      <c r="I7" s="23">
        <v>4500000</v>
      </c>
      <c r="J7" s="49" t="s">
        <v>23</v>
      </c>
      <c r="K7" s="6">
        <f>K6-K5</f>
        <v>-10162.14</v>
      </c>
    </row>
    <row r="8" ht="18" customHeight="1" spans="1:10">
      <c r="A8" s="22">
        <v>43431</v>
      </c>
      <c r="B8" s="23">
        <f t="shared" si="0"/>
        <v>7469878.18181818</v>
      </c>
      <c r="C8" s="24">
        <v>0.02</v>
      </c>
      <c r="D8" s="25">
        <f t="shared" si="1"/>
        <v>149397.563636364</v>
      </c>
      <c r="E8" s="24">
        <v>0.08</v>
      </c>
      <c r="F8" s="23">
        <f t="shared" si="2"/>
        <v>597590.254545455</v>
      </c>
      <c r="G8" s="26">
        <v>8216866</v>
      </c>
      <c r="H8" s="22">
        <v>43441</v>
      </c>
      <c r="I8" s="23">
        <v>8216866</v>
      </c>
      <c r="J8" s="49" t="s">
        <v>23</v>
      </c>
    </row>
    <row r="9" ht="18" customHeight="1" spans="1:10">
      <c r="A9" s="22">
        <v>43448</v>
      </c>
      <c r="B9" s="23">
        <f t="shared" ref="B9:B10" si="3">G9/(1+C9+E9)</f>
        <v>4527272.72727273</v>
      </c>
      <c r="C9" s="24">
        <v>0.02</v>
      </c>
      <c r="D9" s="25">
        <f t="shared" ref="D9:D10" si="4">G9/(1+E9+C9)*C9</f>
        <v>90545.4545454545</v>
      </c>
      <c r="E9" s="24">
        <v>0.08</v>
      </c>
      <c r="F9" s="23">
        <f t="shared" ref="F9:F10" si="5">G9/(1+C9+E9)*E9</f>
        <v>362181.818181818</v>
      </c>
      <c r="G9" s="26">
        <v>4980000</v>
      </c>
      <c r="H9" s="22">
        <v>43828</v>
      </c>
      <c r="I9" s="23">
        <v>4980000</v>
      </c>
      <c r="J9" s="49" t="s">
        <v>23</v>
      </c>
    </row>
    <row r="10" ht="18" customHeight="1" spans="1:10">
      <c r="A10" s="22">
        <v>44428</v>
      </c>
      <c r="B10" s="23">
        <f t="shared" si="3"/>
        <v>1376146.78899083</v>
      </c>
      <c r="C10" s="24">
        <v>0.02</v>
      </c>
      <c r="D10" s="25">
        <f t="shared" si="4"/>
        <v>27522.9357798165</v>
      </c>
      <c r="E10" s="27">
        <v>0.07</v>
      </c>
      <c r="F10" s="23">
        <f t="shared" si="5"/>
        <v>96330.2752293578</v>
      </c>
      <c r="G10" s="26">
        <v>1500000</v>
      </c>
      <c r="H10" s="22">
        <v>44457</v>
      </c>
      <c r="I10" s="23"/>
      <c r="J10" s="49" t="s">
        <v>23</v>
      </c>
    </row>
    <row r="11" ht="18" customHeight="1" spans="1:10">
      <c r="A11" s="28" t="s">
        <v>24</v>
      </c>
      <c r="B11" s="29">
        <f>SUM(B7:B10)</f>
        <v>17464206.7889908</v>
      </c>
      <c r="C11" s="30"/>
      <c r="D11" s="31">
        <f t="shared" ref="D11:G11" si="6">SUM(D7:D10)</f>
        <v>349284.135779817</v>
      </c>
      <c r="E11" s="30"/>
      <c r="F11" s="32">
        <f t="shared" si="6"/>
        <v>1383375.07522936</v>
      </c>
      <c r="G11" s="31">
        <f t="shared" si="6"/>
        <v>19196866</v>
      </c>
      <c r="H11" s="33"/>
      <c r="I11" s="31">
        <f>SUM(I7:I10)</f>
        <v>17696866</v>
      </c>
      <c r="J11" s="33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4" t="s">
        <v>26</v>
      </c>
      <c r="B13" s="20" t="s">
        <v>27</v>
      </c>
      <c r="C13" s="19" t="s">
        <v>28</v>
      </c>
      <c r="D13" s="19" t="s">
        <v>29</v>
      </c>
      <c r="E13" s="19" t="s">
        <v>18</v>
      </c>
      <c r="F13" s="20" t="s">
        <v>30</v>
      </c>
      <c r="G13" s="20" t="s">
        <v>16</v>
      </c>
      <c r="H13" s="19" t="s">
        <v>31</v>
      </c>
      <c r="I13" s="20" t="s">
        <v>32</v>
      </c>
      <c r="J13" s="19" t="s">
        <v>22</v>
      </c>
      <c r="K13" s="50" t="s">
        <v>33</v>
      </c>
      <c r="L13" s="21" t="s">
        <v>34</v>
      </c>
      <c r="M13" s="21" t="s">
        <v>35</v>
      </c>
      <c r="N13" s="21" t="s">
        <v>36</v>
      </c>
      <c r="O13" s="21" t="s">
        <v>37</v>
      </c>
    </row>
    <row r="14" s="1" customFormat="1" ht="18" customHeight="1" spans="1:15">
      <c r="A14" s="35">
        <v>43374</v>
      </c>
      <c r="B14" s="17">
        <f t="shared" ref="B14:B66" si="7">ROUND(G14/(1+E14),2)</f>
        <v>110963.28</v>
      </c>
      <c r="C14" s="36">
        <v>2</v>
      </c>
      <c r="D14" s="37" t="s">
        <v>38</v>
      </c>
      <c r="E14" s="38"/>
      <c r="F14" s="17">
        <f t="shared" ref="F14:F66" si="8">ROUND(G14/(1+E14)*E14,2)</f>
        <v>0</v>
      </c>
      <c r="G14" s="26">
        <f>55343.28+55620</f>
        <v>110963.28</v>
      </c>
      <c r="H14" s="22"/>
      <c r="I14" s="23"/>
      <c r="J14" s="49"/>
      <c r="K14" s="51" t="s">
        <v>39</v>
      </c>
      <c r="L14" s="52" t="s">
        <v>40</v>
      </c>
      <c r="M14" s="53"/>
      <c r="N14" s="53"/>
      <c r="O14" s="52"/>
    </row>
    <row r="15" s="1" customFormat="1" ht="18" customHeight="1" spans="1:15">
      <c r="A15" s="35">
        <v>43374</v>
      </c>
      <c r="B15" s="17">
        <f t="shared" si="7"/>
        <v>28620.75</v>
      </c>
      <c r="C15" s="36">
        <v>1</v>
      </c>
      <c r="D15" s="37" t="s">
        <v>41</v>
      </c>
      <c r="E15" s="38">
        <v>0.06</v>
      </c>
      <c r="F15" s="17">
        <f t="shared" si="8"/>
        <v>1717.25</v>
      </c>
      <c r="G15" s="26">
        <v>30338</v>
      </c>
      <c r="H15" s="22">
        <v>43396</v>
      </c>
      <c r="I15" s="23">
        <v>30338</v>
      </c>
      <c r="J15" s="49" t="s">
        <v>23</v>
      </c>
      <c r="K15" s="51" t="s">
        <v>42</v>
      </c>
      <c r="L15" s="52" t="s">
        <v>43</v>
      </c>
      <c r="M15" s="53"/>
      <c r="N15" s="53"/>
      <c r="O15" s="52"/>
    </row>
    <row r="16" s="1" customFormat="1" ht="18" customHeight="1" spans="1:15">
      <c r="A16" s="35"/>
      <c r="B16" s="17"/>
      <c r="C16" s="36"/>
      <c r="D16" s="37"/>
      <c r="E16" s="38"/>
      <c r="F16" s="17"/>
      <c r="G16" s="26"/>
      <c r="H16" s="22">
        <v>43396</v>
      </c>
      <c r="I16" s="23">
        <v>-30338</v>
      </c>
      <c r="J16" s="49" t="s">
        <v>44</v>
      </c>
      <c r="K16" s="51" t="s">
        <v>45</v>
      </c>
      <c r="L16" s="52"/>
      <c r="M16" s="53"/>
      <c r="N16" s="53"/>
      <c r="O16" s="52"/>
    </row>
    <row r="17" s="1" customFormat="1" ht="18" customHeight="1" spans="1:15">
      <c r="A17" s="35">
        <v>43374</v>
      </c>
      <c r="B17" s="17">
        <f t="shared" si="7"/>
        <v>862137.93</v>
      </c>
      <c r="C17" s="36">
        <v>10</v>
      </c>
      <c r="D17" s="37" t="s">
        <v>41</v>
      </c>
      <c r="E17" s="38">
        <v>0.16</v>
      </c>
      <c r="F17" s="17">
        <f t="shared" si="8"/>
        <v>137942.07</v>
      </c>
      <c r="G17" s="26">
        <f>100980+99900*9</f>
        <v>1000080</v>
      </c>
      <c r="H17" s="22">
        <v>43383</v>
      </c>
      <c r="I17" s="23">
        <v>1000000</v>
      </c>
      <c r="J17" s="49" t="s">
        <v>23</v>
      </c>
      <c r="K17" s="51" t="s">
        <v>46</v>
      </c>
      <c r="L17" s="52" t="s">
        <v>47</v>
      </c>
      <c r="M17" s="53"/>
      <c r="N17" s="53"/>
      <c r="O17" s="52"/>
    </row>
    <row r="18" s="1" customFormat="1" ht="18" customHeight="1" spans="1:15">
      <c r="A18" s="35"/>
      <c r="B18" s="17"/>
      <c r="C18" s="36"/>
      <c r="D18" s="37"/>
      <c r="E18" s="38"/>
      <c r="F18" s="17"/>
      <c r="G18" s="26"/>
      <c r="H18" s="22">
        <v>43383</v>
      </c>
      <c r="I18" s="23">
        <v>-1000000</v>
      </c>
      <c r="J18" s="49" t="s">
        <v>44</v>
      </c>
      <c r="K18" s="51" t="s">
        <v>45</v>
      </c>
      <c r="L18" s="52"/>
      <c r="M18" s="53"/>
      <c r="N18" s="53"/>
      <c r="O18" s="52"/>
    </row>
    <row r="19" s="1" customFormat="1" ht="18" customHeight="1" spans="1:15">
      <c r="A19" s="35">
        <v>43405</v>
      </c>
      <c r="B19" s="17">
        <f t="shared" si="7"/>
        <v>646310.68</v>
      </c>
      <c r="C19" s="36">
        <v>2</v>
      </c>
      <c r="D19" s="37" t="s">
        <v>41</v>
      </c>
      <c r="E19" s="38">
        <v>0.03</v>
      </c>
      <c r="F19" s="17">
        <f t="shared" si="8"/>
        <v>19389.32</v>
      </c>
      <c r="G19" s="26">
        <f>100200*6+64500</f>
        <v>665700</v>
      </c>
      <c r="H19" s="22">
        <v>43438</v>
      </c>
      <c r="I19" s="23">
        <v>866100</v>
      </c>
      <c r="J19" s="49" t="s">
        <v>23</v>
      </c>
      <c r="K19" s="51" t="s">
        <v>48</v>
      </c>
      <c r="L19" s="52" t="s">
        <v>49</v>
      </c>
      <c r="M19" s="53"/>
      <c r="N19" s="53"/>
      <c r="O19" s="52"/>
    </row>
    <row r="20" s="1" customFormat="1" ht="18" customHeight="1" spans="1:15">
      <c r="A20" s="35">
        <v>43405</v>
      </c>
      <c r="B20" s="17">
        <f t="shared" si="7"/>
        <v>3834951.46</v>
      </c>
      <c r="C20" s="36">
        <v>4</v>
      </c>
      <c r="D20" s="37" t="s">
        <v>41</v>
      </c>
      <c r="E20" s="38">
        <v>0.03</v>
      </c>
      <c r="F20" s="17">
        <f t="shared" si="8"/>
        <v>115048.54</v>
      </c>
      <c r="G20" s="26">
        <f>950000+1000000*3</f>
        <v>3950000</v>
      </c>
      <c r="H20" s="22">
        <v>43438</v>
      </c>
      <c r="I20" s="23">
        <v>1350000</v>
      </c>
      <c r="J20" s="49" t="s">
        <v>23</v>
      </c>
      <c r="K20" s="51" t="s">
        <v>50</v>
      </c>
      <c r="L20" s="52" t="s">
        <v>51</v>
      </c>
      <c r="M20" s="53"/>
      <c r="N20" s="53"/>
      <c r="O20" s="52"/>
    </row>
    <row r="21" s="1" customFormat="1" ht="18" customHeight="1" spans="1:15">
      <c r="A21" s="35">
        <v>43405</v>
      </c>
      <c r="B21" s="17">
        <f t="shared" si="7"/>
        <v>1937931.03</v>
      </c>
      <c r="C21" s="36">
        <v>2</v>
      </c>
      <c r="D21" s="37" t="s">
        <v>41</v>
      </c>
      <c r="E21" s="38">
        <v>0.16</v>
      </c>
      <c r="F21" s="17">
        <f t="shared" si="8"/>
        <v>310068.97</v>
      </c>
      <c r="G21" s="26">
        <f>1098000+1150000</f>
        <v>2248000</v>
      </c>
      <c r="H21" s="22">
        <v>43444</v>
      </c>
      <c r="I21" s="23">
        <v>2248000</v>
      </c>
      <c r="J21" s="49" t="s">
        <v>23</v>
      </c>
      <c r="K21" s="51" t="s">
        <v>52</v>
      </c>
      <c r="L21" s="52" t="s">
        <v>53</v>
      </c>
      <c r="M21" s="53"/>
      <c r="N21" s="53"/>
      <c r="O21" s="52"/>
    </row>
    <row r="22" s="1" customFormat="1" ht="18" customHeight="1" spans="1:15">
      <c r="A22" s="39">
        <v>43405</v>
      </c>
      <c r="B22" s="23">
        <f t="shared" si="7"/>
        <v>129310.34</v>
      </c>
      <c r="C22" s="40">
        <v>3</v>
      </c>
      <c r="D22" s="41" t="s">
        <v>41</v>
      </c>
      <c r="E22" s="42">
        <v>0.16</v>
      </c>
      <c r="F22" s="23">
        <f t="shared" si="8"/>
        <v>20689.66</v>
      </c>
      <c r="G22" s="43">
        <f>74534+75466</f>
        <v>150000</v>
      </c>
      <c r="H22" s="22">
        <v>43426</v>
      </c>
      <c r="I22" s="23">
        <v>150000</v>
      </c>
      <c r="J22" s="49" t="s">
        <v>23</v>
      </c>
      <c r="K22" s="51" t="s">
        <v>54</v>
      </c>
      <c r="L22" s="52" t="s">
        <v>55</v>
      </c>
      <c r="M22" s="53"/>
      <c r="N22" s="53"/>
      <c r="O22" s="52"/>
    </row>
    <row r="23" s="1" customFormat="1" ht="18" customHeight="1" spans="1:15">
      <c r="A23" s="39"/>
      <c r="B23" s="23">
        <f t="shared" si="7"/>
        <v>0</v>
      </c>
      <c r="C23" s="40"/>
      <c r="D23" s="41"/>
      <c r="E23" s="42"/>
      <c r="F23" s="23">
        <f t="shared" si="8"/>
        <v>0</v>
      </c>
      <c r="G23" s="43"/>
      <c r="H23" s="22">
        <v>43426</v>
      </c>
      <c r="I23" s="23">
        <v>-150000</v>
      </c>
      <c r="J23" s="49" t="s">
        <v>44</v>
      </c>
      <c r="K23" s="51" t="s">
        <v>45</v>
      </c>
      <c r="L23" s="52"/>
      <c r="M23" s="53"/>
      <c r="N23" s="53"/>
      <c r="O23" s="52"/>
    </row>
    <row r="24" s="1" customFormat="1" ht="18" customHeight="1" spans="1:15">
      <c r="A24" s="39">
        <v>43405</v>
      </c>
      <c r="B24" s="23">
        <f t="shared" si="7"/>
        <v>862111.21</v>
      </c>
      <c r="C24" s="40">
        <v>9</v>
      </c>
      <c r="D24" s="41" t="s">
        <v>41</v>
      </c>
      <c r="E24" s="42">
        <v>0.16</v>
      </c>
      <c r="F24" s="23">
        <f t="shared" si="8"/>
        <v>137937.79</v>
      </c>
      <c r="G24" s="43">
        <f>115784*8+73777</f>
        <v>1000049</v>
      </c>
      <c r="H24" s="22">
        <v>43426</v>
      </c>
      <c r="I24" s="23">
        <v>500000</v>
      </c>
      <c r="J24" s="49" t="s">
        <v>23</v>
      </c>
      <c r="K24" s="51" t="s">
        <v>56</v>
      </c>
      <c r="L24" s="52" t="s">
        <v>47</v>
      </c>
      <c r="M24" s="53"/>
      <c r="N24" s="53"/>
      <c r="O24" s="52"/>
    </row>
    <row r="25" s="1" customFormat="1" ht="18" customHeight="1" spans="1:15">
      <c r="A25" s="39"/>
      <c r="B25" s="23">
        <f t="shared" si="7"/>
        <v>0</v>
      </c>
      <c r="C25" s="40"/>
      <c r="D25" s="41"/>
      <c r="E25" s="42"/>
      <c r="F25" s="23">
        <f t="shared" si="8"/>
        <v>0</v>
      </c>
      <c r="G25" s="43"/>
      <c r="H25" s="22">
        <v>43426</v>
      </c>
      <c r="I25" s="23">
        <v>-500000</v>
      </c>
      <c r="J25" s="49" t="s">
        <v>44</v>
      </c>
      <c r="K25" s="51" t="s">
        <v>45</v>
      </c>
      <c r="L25" s="52"/>
      <c r="M25" s="53"/>
      <c r="N25" s="53"/>
      <c r="O25" s="52"/>
    </row>
    <row r="26" s="1" customFormat="1" ht="18" customHeight="1" spans="1:15">
      <c r="A26" s="39"/>
      <c r="B26" s="23">
        <f t="shared" si="7"/>
        <v>0</v>
      </c>
      <c r="C26" s="40"/>
      <c r="D26" s="41"/>
      <c r="E26" s="42"/>
      <c r="F26" s="23">
        <f t="shared" si="8"/>
        <v>0</v>
      </c>
      <c r="G26" s="43"/>
      <c r="H26" s="22">
        <v>43430</v>
      </c>
      <c r="I26" s="23">
        <v>500013</v>
      </c>
      <c r="J26" s="49" t="s">
        <v>23</v>
      </c>
      <c r="K26" s="51" t="s">
        <v>56</v>
      </c>
      <c r="L26" s="52" t="s">
        <v>47</v>
      </c>
      <c r="M26" s="53"/>
      <c r="N26" s="53"/>
      <c r="O26" s="52"/>
    </row>
    <row r="27" s="1" customFormat="1" ht="18" customHeight="1" spans="1:15">
      <c r="A27" s="39"/>
      <c r="B27" s="23">
        <f t="shared" si="7"/>
        <v>0</v>
      </c>
      <c r="C27" s="40"/>
      <c r="D27" s="41"/>
      <c r="E27" s="42"/>
      <c r="F27" s="23">
        <f t="shared" si="8"/>
        <v>0</v>
      </c>
      <c r="G27" s="43"/>
      <c r="H27" s="22">
        <v>43430</v>
      </c>
      <c r="I27" s="23">
        <v>-500013</v>
      </c>
      <c r="J27" s="49" t="s">
        <v>44</v>
      </c>
      <c r="K27" s="51" t="s">
        <v>45</v>
      </c>
      <c r="L27" s="52"/>
      <c r="M27" s="53"/>
      <c r="N27" s="53"/>
      <c r="O27" s="52"/>
    </row>
    <row r="28" s="1" customFormat="1" ht="18" customHeight="1" spans="1:15">
      <c r="A28" s="39"/>
      <c r="B28" s="23">
        <f t="shared" si="7"/>
        <v>0</v>
      </c>
      <c r="C28" s="40"/>
      <c r="D28" s="41"/>
      <c r="E28" s="42"/>
      <c r="F28" s="23">
        <f t="shared" si="8"/>
        <v>0</v>
      </c>
      <c r="G28" s="43"/>
      <c r="H28" s="22">
        <v>43431</v>
      </c>
      <c r="I28" s="23">
        <v>36</v>
      </c>
      <c r="J28" s="49" t="s">
        <v>23</v>
      </c>
      <c r="K28" s="51" t="s">
        <v>56</v>
      </c>
      <c r="L28" s="52" t="s">
        <v>47</v>
      </c>
      <c r="M28" s="53"/>
      <c r="N28" s="53"/>
      <c r="O28" s="52"/>
    </row>
    <row r="29" s="1" customFormat="1" ht="18" customHeight="1" spans="1:15">
      <c r="A29" s="39"/>
      <c r="B29" s="23">
        <f t="shared" si="7"/>
        <v>0</v>
      </c>
      <c r="C29" s="40"/>
      <c r="D29" s="41"/>
      <c r="E29" s="42"/>
      <c r="F29" s="23">
        <f t="shared" si="8"/>
        <v>0</v>
      </c>
      <c r="G29" s="43"/>
      <c r="H29" s="22">
        <v>43431</v>
      </c>
      <c r="I29" s="23">
        <v>-36</v>
      </c>
      <c r="J29" s="49" t="s">
        <v>44</v>
      </c>
      <c r="K29" s="51" t="s">
        <v>45</v>
      </c>
      <c r="L29" s="52"/>
      <c r="M29" s="53"/>
      <c r="N29" s="53"/>
      <c r="O29" s="52"/>
    </row>
    <row r="30" s="1" customFormat="1" ht="18" customHeight="1" spans="1:15">
      <c r="A30" s="39">
        <v>43405</v>
      </c>
      <c r="B30" s="23">
        <f t="shared" si="7"/>
        <v>194563.11</v>
      </c>
      <c r="C30" s="40">
        <v>2</v>
      </c>
      <c r="D30" s="41" t="s">
        <v>41</v>
      </c>
      <c r="E30" s="42">
        <v>0.03</v>
      </c>
      <c r="F30" s="44">
        <f t="shared" si="8"/>
        <v>5836.89</v>
      </c>
      <c r="G30" s="43">
        <f>100200*2</f>
        <v>200400</v>
      </c>
      <c r="H30" s="22"/>
      <c r="I30" s="23"/>
      <c r="J30" s="49"/>
      <c r="K30" s="51" t="s">
        <v>48</v>
      </c>
      <c r="L30" s="52" t="s">
        <v>49</v>
      </c>
      <c r="M30" s="53"/>
      <c r="N30" s="53"/>
      <c r="O30" s="52"/>
    </row>
    <row r="31" s="1" customFormat="1" ht="18" customHeight="1" spans="1:15">
      <c r="A31" s="35"/>
      <c r="B31" s="17">
        <f t="shared" si="7"/>
        <v>0</v>
      </c>
      <c r="C31" s="36"/>
      <c r="D31" s="37"/>
      <c r="E31" s="38"/>
      <c r="F31" s="17">
        <f t="shared" si="8"/>
        <v>0</v>
      </c>
      <c r="G31" s="26"/>
      <c r="H31" s="22">
        <v>43433</v>
      </c>
      <c r="I31" s="23">
        <v>1000000</v>
      </c>
      <c r="J31" s="49" t="s">
        <v>44</v>
      </c>
      <c r="K31" s="51" t="s">
        <v>45</v>
      </c>
      <c r="L31" s="52" t="s">
        <v>57</v>
      </c>
      <c r="M31" s="53"/>
      <c r="N31" s="53"/>
      <c r="O31" s="52"/>
    </row>
    <row r="32" ht="18" customHeight="1" spans="1:15">
      <c r="A32" s="39">
        <v>43435</v>
      </c>
      <c r="B32" s="23">
        <f t="shared" si="7"/>
        <v>1262330.1</v>
      </c>
      <c r="C32" s="40">
        <v>13</v>
      </c>
      <c r="D32" s="41" t="s">
        <v>41</v>
      </c>
      <c r="E32" s="42">
        <v>0.03</v>
      </c>
      <c r="F32" s="23">
        <f t="shared" si="8"/>
        <v>37869.9</v>
      </c>
      <c r="G32" s="43">
        <f>102000*12+76200</f>
        <v>1300200</v>
      </c>
      <c r="H32" s="22">
        <v>43444</v>
      </c>
      <c r="I32" s="23">
        <v>1300200</v>
      </c>
      <c r="J32" s="49" t="s">
        <v>23</v>
      </c>
      <c r="K32" s="54" t="s">
        <v>48</v>
      </c>
      <c r="L32" s="33" t="s">
        <v>49</v>
      </c>
      <c r="M32" s="49"/>
      <c r="N32" s="49"/>
      <c r="O32" s="33"/>
    </row>
    <row r="33" ht="18" customHeight="1" spans="1:15">
      <c r="A33" s="39">
        <v>43435</v>
      </c>
      <c r="B33" s="23">
        <f t="shared" si="7"/>
        <v>862137.93</v>
      </c>
      <c r="C33" s="40">
        <v>10</v>
      </c>
      <c r="D33" s="41" t="s">
        <v>41</v>
      </c>
      <c r="E33" s="42">
        <v>0.16</v>
      </c>
      <c r="F33" s="23">
        <f t="shared" si="8"/>
        <v>137942.07</v>
      </c>
      <c r="G33" s="43">
        <f>9*99900+100980</f>
        <v>1000080</v>
      </c>
      <c r="H33" s="22">
        <v>43444</v>
      </c>
      <c r="I33" s="23">
        <v>1000080</v>
      </c>
      <c r="J33" s="49" t="s">
        <v>23</v>
      </c>
      <c r="K33" s="54" t="s">
        <v>46</v>
      </c>
      <c r="L33" s="33" t="s">
        <v>47</v>
      </c>
      <c r="M33" s="49"/>
      <c r="N33" s="49"/>
      <c r="O33" s="33"/>
    </row>
    <row r="34" s="1" customFormat="1" ht="18" customHeight="1" spans="1:15">
      <c r="A34" s="35"/>
      <c r="B34" s="17">
        <f t="shared" si="7"/>
        <v>0</v>
      </c>
      <c r="C34" s="36"/>
      <c r="D34" s="37"/>
      <c r="E34" s="38"/>
      <c r="F34" s="17">
        <f t="shared" si="8"/>
        <v>0</v>
      </c>
      <c r="G34" s="26"/>
      <c r="H34" s="22">
        <v>43444</v>
      </c>
      <c r="I34" s="23">
        <v>2600000</v>
      </c>
      <c r="J34" s="49" t="s">
        <v>23</v>
      </c>
      <c r="K34" s="51" t="s">
        <v>50</v>
      </c>
      <c r="L34" s="52" t="s">
        <v>51</v>
      </c>
      <c r="M34" s="53"/>
      <c r="N34" s="53"/>
      <c r="O34" s="52"/>
    </row>
    <row r="35" s="1" customFormat="1" ht="18" customHeight="1" spans="1:15">
      <c r="A35" s="35"/>
      <c r="B35" s="17">
        <f t="shared" si="7"/>
        <v>0</v>
      </c>
      <c r="C35" s="36"/>
      <c r="D35" s="37"/>
      <c r="E35" s="38"/>
      <c r="F35" s="17">
        <f t="shared" si="8"/>
        <v>0</v>
      </c>
      <c r="G35" s="26"/>
      <c r="H35" s="22">
        <v>43447</v>
      </c>
      <c r="I35" s="23">
        <v>1180387</v>
      </c>
      <c r="J35" s="49" t="s">
        <v>44</v>
      </c>
      <c r="K35" s="51" t="s">
        <v>45</v>
      </c>
      <c r="L35" s="52" t="s">
        <v>57</v>
      </c>
      <c r="M35" s="53"/>
      <c r="N35" s="53"/>
      <c r="O35" s="52"/>
    </row>
    <row r="36" s="1" customFormat="1" ht="18" customHeight="1" spans="1:15">
      <c r="A36" s="35">
        <v>43435</v>
      </c>
      <c r="B36" s="17">
        <f t="shared" si="7"/>
        <v>431068.97</v>
      </c>
      <c r="C36" s="36"/>
      <c r="D36" s="37"/>
      <c r="E36" s="38">
        <v>0.16</v>
      </c>
      <c r="F36" s="17">
        <f t="shared" si="8"/>
        <v>68971.03</v>
      </c>
      <c r="G36" s="26">
        <f>99900*4+100440</f>
        <v>500040</v>
      </c>
      <c r="H36" s="22">
        <v>43452</v>
      </c>
      <c r="I36" s="23">
        <v>500040</v>
      </c>
      <c r="J36" s="49" t="s">
        <v>23</v>
      </c>
      <c r="K36" s="51" t="s">
        <v>46</v>
      </c>
      <c r="L36" s="52" t="s">
        <v>47</v>
      </c>
      <c r="M36" s="53"/>
      <c r="N36" s="53"/>
      <c r="O36" s="52"/>
    </row>
    <row r="37" s="1" customFormat="1" ht="18" customHeight="1" spans="1:15">
      <c r="A37" s="35">
        <v>43435</v>
      </c>
      <c r="B37" s="17">
        <f t="shared" si="7"/>
        <v>431034.48</v>
      </c>
      <c r="C37" s="36"/>
      <c r="D37" s="37" t="s">
        <v>41</v>
      </c>
      <c r="E37" s="38">
        <v>0.16</v>
      </c>
      <c r="F37" s="17">
        <f t="shared" si="8"/>
        <v>68965.52</v>
      </c>
      <c r="G37" s="26">
        <v>500000</v>
      </c>
      <c r="H37" s="22">
        <v>43458</v>
      </c>
      <c r="I37" s="23">
        <v>500000</v>
      </c>
      <c r="J37" s="49" t="s">
        <v>23</v>
      </c>
      <c r="K37" s="51" t="s">
        <v>58</v>
      </c>
      <c r="L37" s="52" t="s">
        <v>59</v>
      </c>
      <c r="M37" s="53"/>
      <c r="N37" s="53"/>
      <c r="O37" s="52"/>
    </row>
    <row r="38" s="1" customFormat="1" ht="18.75" customHeight="1" spans="1:15">
      <c r="A38" s="35"/>
      <c r="B38" s="17">
        <f t="shared" si="7"/>
        <v>0</v>
      </c>
      <c r="C38" s="36"/>
      <c r="D38" s="37"/>
      <c r="E38" s="38"/>
      <c r="F38" s="17">
        <f t="shared" si="8"/>
        <v>0</v>
      </c>
      <c r="G38" s="26"/>
      <c r="H38" s="22">
        <v>43458</v>
      </c>
      <c r="I38" s="23">
        <v>-500000</v>
      </c>
      <c r="J38" s="49" t="s">
        <v>44</v>
      </c>
      <c r="K38" s="51" t="s">
        <v>45</v>
      </c>
      <c r="L38" s="52"/>
      <c r="M38" s="53"/>
      <c r="N38" s="53"/>
      <c r="O38" s="52"/>
    </row>
    <row r="39" ht="18" customHeight="1" spans="1:15">
      <c r="A39" s="35">
        <v>43435</v>
      </c>
      <c r="B39" s="17">
        <f t="shared" si="7"/>
        <v>172413.79</v>
      </c>
      <c r="C39" s="36"/>
      <c r="D39" s="37" t="s">
        <v>41</v>
      </c>
      <c r="E39" s="38">
        <v>0.16</v>
      </c>
      <c r="F39" s="17">
        <f t="shared" si="8"/>
        <v>27586.21</v>
      </c>
      <c r="G39" s="26">
        <v>200000</v>
      </c>
      <c r="H39" s="22">
        <v>43459</v>
      </c>
      <c r="I39" s="23">
        <v>200000</v>
      </c>
      <c r="J39" s="49" t="s">
        <v>23</v>
      </c>
      <c r="K39" s="54" t="s">
        <v>60</v>
      </c>
      <c r="L39" s="33" t="s">
        <v>61</v>
      </c>
      <c r="M39" s="49"/>
      <c r="N39" s="49"/>
      <c r="O39" s="33"/>
    </row>
    <row r="40" ht="18" customHeight="1" spans="1:15">
      <c r="A40" s="35">
        <v>43435</v>
      </c>
      <c r="B40" s="17">
        <f t="shared" si="7"/>
        <v>2700000</v>
      </c>
      <c r="C40" s="36"/>
      <c r="D40" s="37" t="s">
        <v>62</v>
      </c>
      <c r="E40" s="38"/>
      <c r="F40" s="17">
        <f t="shared" si="8"/>
        <v>0</v>
      </c>
      <c r="G40" s="26">
        <v>2700000</v>
      </c>
      <c r="H40" s="22">
        <v>43473</v>
      </c>
      <c r="I40" s="23">
        <v>1500000</v>
      </c>
      <c r="J40" s="49" t="s">
        <v>23</v>
      </c>
      <c r="K40" s="54" t="s">
        <v>63</v>
      </c>
      <c r="L40" s="33" t="s">
        <v>64</v>
      </c>
      <c r="M40" s="49"/>
      <c r="N40" s="49"/>
      <c r="O40" s="33"/>
    </row>
    <row r="41" s="1" customFormat="1" ht="18" customHeight="1" spans="1:15">
      <c r="A41" s="35">
        <v>43435</v>
      </c>
      <c r="B41" s="17">
        <f t="shared" si="7"/>
        <v>1941747.57</v>
      </c>
      <c r="C41" s="36"/>
      <c r="D41" s="37" t="s">
        <v>41</v>
      </c>
      <c r="E41" s="38">
        <v>0.03</v>
      </c>
      <c r="F41" s="17">
        <f t="shared" si="8"/>
        <v>58252.43</v>
      </c>
      <c r="G41" s="26">
        <v>2000000</v>
      </c>
      <c r="H41" s="22">
        <v>43473</v>
      </c>
      <c r="I41" s="23">
        <v>1500000</v>
      </c>
      <c r="J41" s="49" t="s">
        <v>23</v>
      </c>
      <c r="K41" s="51" t="s">
        <v>50</v>
      </c>
      <c r="L41" s="52" t="s">
        <v>51</v>
      </c>
      <c r="M41" s="53"/>
      <c r="N41" s="53"/>
      <c r="O41" s="52"/>
    </row>
    <row r="42" s="1" customFormat="1" ht="18" customHeight="1" spans="1:15">
      <c r="A42" s="35">
        <v>43466</v>
      </c>
      <c r="B42" s="17">
        <f t="shared" si="7"/>
        <v>420300</v>
      </c>
      <c r="C42" s="36"/>
      <c r="D42" s="37" t="s">
        <v>62</v>
      </c>
      <c r="E42" s="38"/>
      <c r="F42" s="17">
        <f t="shared" si="8"/>
        <v>0</v>
      </c>
      <c r="G42" s="26">
        <v>420300</v>
      </c>
      <c r="H42" s="22">
        <v>43480</v>
      </c>
      <c r="I42" s="23">
        <v>420300</v>
      </c>
      <c r="J42" s="49" t="s">
        <v>44</v>
      </c>
      <c r="K42" s="51" t="s">
        <v>65</v>
      </c>
      <c r="L42" s="52" t="s">
        <v>66</v>
      </c>
      <c r="M42" s="53"/>
      <c r="N42" s="53"/>
      <c r="O42" s="52"/>
    </row>
    <row r="43" s="1" customFormat="1" ht="18" customHeight="1" spans="1:15">
      <c r="A43" s="39">
        <v>43466</v>
      </c>
      <c r="B43" s="17">
        <f t="shared" si="7"/>
        <v>338737.86</v>
      </c>
      <c r="C43" s="36"/>
      <c r="D43" s="37" t="s">
        <v>41</v>
      </c>
      <c r="E43" s="38">
        <v>0.03</v>
      </c>
      <c r="F43" s="17">
        <f t="shared" si="8"/>
        <v>10162.14</v>
      </c>
      <c r="G43" s="26">
        <f>99900+99000+99000+51000</f>
        <v>348900</v>
      </c>
      <c r="H43" s="22">
        <v>43480</v>
      </c>
      <c r="I43" s="23">
        <f>99900*3+51000</f>
        <v>350700</v>
      </c>
      <c r="J43" s="49" t="s">
        <v>23</v>
      </c>
      <c r="K43" s="51" t="s">
        <v>48</v>
      </c>
      <c r="L43" s="52" t="s">
        <v>67</v>
      </c>
      <c r="M43" s="53"/>
      <c r="N43" s="53"/>
      <c r="O43" s="52"/>
    </row>
    <row r="44" s="1" customFormat="1" ht="18" customHeight="1" spans="1:15">
      <c r="A44" s="35"/>
      <c r="B44" s="17">
        <f t="shared" si="7"/>
        <v>0</v>
      </c>
      <c r="C44" s="36"/>
      <c r="D44" s="37"/>
      <c r="E44" s="38"/>
      <c r="F44" s="17">
        <f t="shared" si="8"/>
        <v>0</v>
      </c>
      <c r="G44" s="26"/>
      <c r="H44" s="22">
        <v>43488</v>
      </c>
      <c r="I44" s="23">
        <v>500000</v>
      </c>
      <c r="J44" s="49" t="s">
        <v>44</v>
      </c>
      <c r="K44" s="51" t="s">
        <v>45</v>
      </c>
      <c r="L44" s="52" t="s">
        <v>57</v>
      </c>
      <c r="M44" s="53"/>
      <c r="N44" s="53"/>
      <c r="O44" s="52"/>
    </row>
    <row r="45" s="1" customFormat="1" ht="18" customHeight="1" spans="1:15">
      <c r="A45" s="35">
        <v>43466</v>
      </c>
      <c r="B45" s="17">
        <f t="shared" si="7"/>
        <v>388543.69</v>
      </c>
      <c r="C45" s="36"/>
      <c r="D45" s="37" t="s">
        <v>41</v>
      </c>
      <c r="E45" s="38">
        <v>0.03</v>
      </c>
      <c r="F45" s="17">
        <f t="shared" si="8"/>
        <v>11656.31</v>
      </c>
      <c r="G45" s="26">
        <f>100500+99900*3</f>
        <v>400200</v>
      </c>
      <c r="H45" s="22">
        <v>43495</v>
      </c>
      <c r="I45" s="23">
        <v>400200</v>
      </c>
      <c r="J45" s="49" t="s">
        <v>23</v>
      </c>
      <c r="K45" s="51" t="s">
        <v>48</v>
      </c>
      <c r="L45" s="52" t="s">
        <v>67</v>
      </c>
      <c r="M45" s="53"/>
      <c r="N45" s="53"/>
      <c r="O45" s="52"/>
    </row>
    <row r="46" s="1" customFormat="1" ht="18" customHeight="1" spans="1:15">
      <c r="A46" s="35"/>
      <c r="B46" s="17">
        <f t="shared" si="7"/>
        <v>0</v>
      </c>
      <c r="C46" s="36"/>
      <c r="D46" s="37"/>
      <c r="E46" s="38"/>
      <c r="F46" s="17">
        <f t="shared" si="8"/>
        <v>0</v>
      </c>
      <c r="G46" s="26"/>
      <c r="H46" s="22">
        <v>43496</v>
      </c>
      <c r="I46" s="23">
        <v>500000</v>
      </c>
      <c r="J46" s="49" t="s">
        <v>23</v>
      </c>
      <c r="K46" s="51" t="s">
        <v>50</v>
      </c>
      <c r="L46" s="52" t="s">
        <v>51</v>
      </c>
      <c r="M46" s="53"/>
      <c r="N46" s="53"/>
      <c r="O46" s="52"/>
    </row>
    <row r="47" s="1" customFormat="1" ht="18" customHeight="1" spans="1:15">
      <c r="A47" s="35"/>
      <c r="B47" s="17">
        <f t="shared" si="7"/>
        <v>0</v>
      </c>
      <c r="C47" s="36"/>
      <c r="D47" s="37"/>
      <c r="E47" s="38"/>
      <c r="F47" s="17">
        <f t="shared" si="8"/>
        <v>0</v>
      </c>
      <c r="G47" s="26"/>
      <c r="H47" s="22">
        <v>43496</v>
      </c>
      <c r="I47" s="23">
        <v>-108165</v>
      </c>
      <c r="J47" s="49" t="s">
        <v>44</v>
      </c>
      <c r="K47" s="51" t="s">
        <v>45</v>
      </c>
      <c r="L47" s="52"/>
      <c r="M47" s="53"/>
      <c r="N47" s="53"/>
      <c r="O47" s="52"/>
    </row>
    <row r="48" s="1" customFormat="1" ht="18" customHeight="1" spans="1:15">
      <c r="A48" s="35">
        <v>43709</v>
      </c>
      <c r="B48" s="17">
        <f t="shared" si="7"/>
        <v>21688.68</v>
      </c>
      <c r="C48" s="36"/>
      <c r="D48" s="37" t="s">
        <v>41</v>
      </c>
      <c r="E48" s="45">
        <v>0.06</v>
      </c>
      <c r="F48" s="17">
        <f t="shared" si="8"/>
        <v>1301.32</v>
      </c>
      <c r="G48" s="26">
        <v>22990</v>
      </c>
      <c r="H48" s="22">
        <v>43665</v>
      </c>
      <c r="I48" s="23">
        <v>22990</v>
      </c>
      <c r="J48" s="49" t="s">
        <v>23</v>
      </c>
      <c r="K48" s="51" t="s">
        <v>68</v>
      </c>
      <c r="L48" s="52" t="s">
        <v>69</v>
      </c>
      <c r="M48" s="53"/>
      <c r="N48" s="53"/>
      <c r="O48" s="52"/>
    </row>
    <row r="49" s="1" customFormat="1" ht="18" customHeight="1" spans="1:15">
      <c r="A49" s="35"/>
      <c r="B49" s="17">
        <f t="shared" si="7"/>
        <v>0</v>
      </c>
      <c r="C49" s="36"/>
      <c r="D49" s="37"/>
      <c r="E49" s="38"/>
      <c r="F49" s="17">
        <f t="shared" si="8"/>
        <v>0</v>
      </c>
      <c r="G49" s="26"/>
      <c r="H49" s="22">
        <v>43665</v>
      </c>
      <c r="I49" s="23">
        <v>-22990</v>
      </c>
      <c r="J49" s="49" t="s">
        <v>44</v>
      </c>
      <c r="K49" s="51" t="s">
        <v>45</v>
      </c>
      <c r="L49" s="52"/>
      <c r="M49" s="53"/>
      <c r="N49" s="53"/>
      <c r="O49" s="52"/>
    </row>
    <row r="50" s="1" customFormat="1" ht="18" customHeight="1" spans="1:15">
      <c r="A50" s="35">
        <v>44440</v>
      </c>
      <c r="B50" s="17">
        <f t="shared" si="7"/>
        <v>695383.5</v>
      </c>
      <c r="C50" s="36">
        <v>8</v>
      </c>
      <c r="D50" s="37" t="s">
        <v>41</v>
      </c>
      <c r="E50" s="45">
        <v>0.03</v>
      </c>
      <c r="F50" s="17">
        <f t="shared" si="8"/>
        <v>20861.5</v>
      </c>
      <c r="G50" s="26">
        <f>99900*4+100500*3+15145</f>
        <v>716245</v>
      </c>
      <c r="H50" s="22"/>
      <c r="I50" s="23"/>
      <c r="J50" s="49"/>
      <c r="K50" s="51" t="s">
        <v>48</v>
      </c>
      <c r="L50" s="52" t="s">
        <v>67</v>
      </c>
      <c r="M50" s="53" t="s">
        <v>70</v>
      </c>
      <c r="N50" s="53"/>
      <c r="O50" s="52"/>
    </row>
    <row r="51" s="1" customFormat="1" ht="18" customHeight="1" spans="1:15">
      <c r="A51" s="35"/>
      <c r="B51" s="17">
        <f t="shared" si="7"/>
        <v>0</v>
      </c>
      <c r="C51" s="36"/>
      <c r="D51" s="37"/>
      <c r="E51" s="45"/>
      <c r="F51" s="17">
        <f t="shared" si="8"/>
        <v>0</v>
      </c>
      <c r="G51" s="26"/>
      <c r="H51" s="22"/>
      <c r="I51" s="23"/>
      <c r="J51" s="49"/>
      <c r="K51" s="51"/>
      <c r="L51" s="52"/>
      <c r="M51" s="53"/>
      <c r="N51" s="53"/>
      <c r="O51" s="52"/>
    </row>
    <row r="52" s="1" customFormat="1" ht="18" customHeight="1" spans="1:15">
      <c r="A52" s="35"/>
      <c r="B52" s="17">
        <f t="shared" si="7"/>
        <v>0</v>
      </c>
      <c r="C52" s="36"/>
      <c r="D52" s="37"/>
      <c r="E52" s="45"/>
      <c r="F52" s="17">
        <f t="shared" si="8"/>
        <v>0</v>
      </c>
      <c r="G52" s="26"/>
      <c r="H52" s="22"/>
      <c r="I52" s="23"/>
      <c r="J52" s="49"/>
      <c r="K52" s="51"/>
      <c r="L52" s="52"/>
      <c r="M52" s="53"/>
      <c r="N52" s="53"/>
      <c r="O52" s="52"/>
    </row>
    <row r="53" s="1" customFormat="1" ht="18" customHeight="1" spans="1:15">
      <c r="A53" s="35"/>
      <c r="B53" s="17">
        <f t="shared" si="7"/>
        <v>0</v>
      </c>
      <c r="C53" s="36"/>
      <c r="D53" s="37"/>
      <c r="E53" s="45"/>
      <c r="F53" s="17">
        <f t="shared" si="8"/>
        <v>0</v>
      </c>
      <c r="G53" s="26"/>
      <c r="H53" s="22"/>
      <c r="I53" s="23"/>
      <c r="J53" s="49"/>
      <c r="K53" s="51"/>
      <c r="L53" s="52"/>
      <c r="M53" s="53"/>
      <c r="N53" s="53"/>
      <c r="O53" s="52"/>
    </row>
    <row r="54" s="1" customFormat="1" ht="18" customHeight="1" spans="1:15">
      <c r="A54" s="35"/>
      <c r="B54" s="17">
        <f t="shared" si="7"/>
        <v>0</v>
      </c>
      <c r="C54" s="36"/>
      <c r="D54" s="37"/>
      <c r="E54" s="45"/>
      <c r="F54" s="17">
        <f t="shared" si="8"/>
        <v>0</v>
      </c>
      <c r="G54" s="26"/>
      <c r="H54" s="22"/>
      <c r="I54" s="23"/>
      <c r="J54" s="49"/>
      <c r="K54" s="51"/>
      <c r="L54" s="52"/>
      <c r="M54" s="53"/>
      <c r="N54" s="53"/>
      <c r="O54" s="52"/>
    </row>
    <row r="55" s="1" customFormat="1" ht="18" customHeight="1" spans="1:15">
      <c r="A55" s="35"/>
      <c r="B55" s="17">
        <f t="shared" si="7"/>
        <v>0</v>
      </c>
      <c r="C55" s="36"/>
      <c r="D55" s="37"/>
      <c r="E55" s="45"/>
      <c r="F55" s="17">
        <f t="shared" si="8"/>
        <v>0</v>
      </c>
      <c r="G55" s="26"/>
      <c r="H55" s="22"/>
      <c r="I55" s="23"/>
      <c r="J55" s="49"/>
      <c r="K55" s="51"/>
      <c r="L55" s="52"/>
      <c r="M55" s="53"/>
      <c r="N55" s="53"/>
      <c r="O55" s="52"/>
    </row>
    <row r="56" s="1" customFormat="1" ht="18" customHeight="1" spans="1:15">
      <c r="A56" s="35"/>
      <c r="B56" s="17">
        <f t="shared" si="7"/>
        <v>0</v>
      </c>
      <c r="C56" s="36"/>
      <c r="D56" s="37"/>
      <c r="E56" s="38"/>
      <c r="F56" s="17">
        <f t="shared" si="8"/>
        <v>0</v>
      </c>
      <c r="G56" s="26"/>
      <c r="H56" s="22"/>
      <c r="I56" s="23"/>
      <c r="J56" s="49"/>
      <c r="K56" s="51"/>
      <c r="L56" s="52"/>
      <c r="M56" s="53"/>
      <c r="N56" s="53"/>
      <c r="O56" s="52"/>
    </row>
    <row r="57" s="1" customFormat="1" ht="18" customHeight="1" spans="1:15">
      <c r="A57" s="35"/>
      <c r="B57" s="17">
        <f t="shared" si="7"/>
        <v>0</v>
      </c>
      <c r="C57" s="36"/>
      <c r="D57" s="37"/>
      <c r="E57" s="38"/>
      <c r="F57" s="17">
        <f t="shared" si="8"/>
        <v>0</v>
      </c>
      <c r="G57" s="26"/>
      <c r="H57" s="22"/>
      <c r="I57" s="23"/>
      <c r="J57" s="49"/>
      <c r="K57" s="51"/>
      <c r="L57" s="52"/>
      <c r="M57" s="53"/>
      <c r="N57" s="53"/>
      <c r="O57" s="52"/>
    </row>
    <row r="58" s="1" customFormat="1" ht="18" customHeight="1" spans="1:15">
      <c r="A58" s="35"/>
      <c r="B58" s="17">
        <f t="shared" si="7"/>
        <v>0</v>
      </c>
      <c r="C58" s="36"/>
      <c r="D58" s="37"/>
      <c r="E58" s="38"/>
      <c r="F58" s="17">
        <f t="shared" si="8"/>
        <v>0</v>
      </c>
      <c r="G58" s="26"/>
      <c r="H58" s="22"/>
      <c r="I58" s="23"/>
      <c r="J58" s="49"/>
      <c r="K58" s="51"/>
      <c r="L58" s="52"/>
      <c r="M58" s="53"/>
      <c r="N58" s="53"/>
      <c r="O58" s="52"/>
    </row>
    <row r="59" s="1" customFormat="1" ht="18" customHeight="1" spans="1:15">
      <c r="A59" s="35"/>
      <c r="B59" s="17">
        <f t="shared" si="7"/>
        <v>0</v>
      </c>
      <c r="C59" s="36"/>
      <c r="D59" s="37"/>
      <c r="E59" s="38"/>
      <c r="F59" s="17">
        <f t="shared" si="8"/>
        <v>0</v>
      </c>
      <c r="G59" s="26"/>
      <c r="H59" s="22"/>
      <c r="I59" s="55">
        <v>715748</v>
      </c>
      <c r="J59" s="56" t="s">
        <v>71</v>
      </c>
      <c r="K59" s="57" t="s">
        <v>72</v>
      </c>
      <c r="L59" s="52"/>
      <c r="M59" s="53"/>
      <c r="N59" s="53"/>
      <c r="O59" s="52"/>
    </row>
    <row r="60" s="1" customFormat="1" ht="18" customHeight="1" spans="1:15">
      <c r="A60" s="35"/>
      <c r="B60" s="17">
        <f t="shared" si="7"/>
        <v>0</v>
      </c>
      <c r="C60" s="36"/>
      <c r="D60" s="37"/>
      <c r="E60" s="38"/>
      <c r="F60" s="17">
        <f t="shared" si="8"/>
        <v>0</v>
      </c>
      <c r="G60" s="26"/>
      <c r="H60" s="22"/>
      <c r="I60" s="55">
        <v>-715748</v>
      </c>
      <c r="J60" s="56" t="s">
        <v>73</v>
      </c>
      <c r="K60" s="57"/>
      <c r="L60" s="52"/>
      <c r="M60" s="53"/>
      <c r="N60" s="53"/>
      <c r="O60" s="52"/>
    </row>
    <row r="61" s="1" customFormat="1" ht="18" customHeight="1" spans="1:15">
      <c r="A61" s="35"/>
      <c r="B61" s="17">
        <f t="shared" si="7"/>
        <v>0</v>
      </c>
      <c r="C61" s="36"/>
      <c r="D61" s="37"/>
      <c r="E61" s="38"/>
      <c r="F61" s="17">
        <f t="shared" si="8"/>
        <v>0</v>
      </c>
      <c r="G61" s="26"/>
      <c r="H61" s="22"/>
      <c r="I61" s="23">
        <v>27164</v>
      </c>
      <c r="J61" s="49" t="s">
        <v>74</v>
      </c>
      <c r="K61" s="51" t="s">
        <v>10</v>
      </c>
      <c r="L61" s="52"/>
      <c r="M61" s="53"/>
      <c r="N61" s="53"/>
      <c r="O61" s="52"/>
    </row>
    <row r="62" s="1" customFormat="1" ht="18" customHeight="1" spans="1:15">
      <c r="A62" s="35"/>
      <c r="B62" s="17">
        <f t="shared" si="7"/>
        <v>0</v>
      </c>
      <c r="C62" s="36"/>
      <c r="D62" s="37"/>
      <c r="E62" s="38"/>
      <c r="F62" s="17">
        <f t="shared" si="8"/>
        <v>0</v>
      </c>
      <c r="G62" s="26"/>
      <c r="H62" s="22"/>
      <c r="I62" s="23">
        <v>2717</v>
      </c>
      <c r="J62" s="49" t="s">
        <v>74</v>
      </c>
      <c r="K62" s="51" t="s">
        <v>75</v>
      </c>
      <c r="L62" s="52"/>
      <c r="M62" s="53"/>
      <c r="N62" s="53"/>
      <c r="O62" s="52"/>
    </row>
    <row r="63" s="1" customFormat="1" ht="18" customHeight="1" spans="1:15">
      <c r="A63" s="35"/>
      <c r="B63" s="17">
        <f t="shared" si="7"/>
        <v>0</v>
      </c>
      <c r="C63" s="36"/>
      <c r="D63" s="37"/>
      <c r="E63" s="38"/>
      <c r="F63" s="17">
        <f t="shared" si="8"/>
        <v>0</v>
      </c>
      <c r="G63" s="26"/>
      <c r="H63" s="22"/>
      <c r="I63" s="23">
        <v>-115608</v>
      </c>
      <c r="J63" s="49" t="s">
        <v>73</v>
      </c>
      <c r="K63" s="51" t="s">
        <v>76</v>
      </c>
      <c r="L63" s="52"/>
      <c r="M63" s="58">
        <f>I66-N63</f>
        <v>115608</v>
      </c>
      <c r="N63" s="53">
        <v>69365</v>
      </c>
      <c r="O63" s="52"/>
    </row>
    <row r="64" s="1" customFormat="1" ht="18" customHeight="1" spans="1:15">
      <c r="A64" s="35"/>
      <c r="B64" s="17">
        <f t="shared" si="7"/>
        <v>0</v>
      </c>
      <c r="C64" s="36"/>
      <c r="D64" s="37"/>
      <c r="E64" s="38"/>
      <c r="F64" s="17">
        <f t="shared" si="8"/>
        <v>0</v>
      </c>
      <c r="G64" s="26"/>
      <c r="H64" s="22"/>
      <c r="I64" s="55">
        <v>-6500</v>
      </c>
      <c r="J64" s="56" t="s">
        <v>73</v>
      </c>
      <c r="K64" s="57" t="s">
        <v>77</v>
      </c>
      <c r="L64" s="52"/>
      <c r="M64" s="58"/>
      <c r="N64" s="53"/>
      <c r="O64" s="52"/>
    </row>
    <row r="65" s="1" customFormat="1" ht="18" customHeight="1" spans="1:15">
      <c r="A65" s="35" t="s">
        <v>78</v>
      </c>
      <c r="B65" s="17">
        <f t="shared" si="7"/>
        <v>0</v>
      </c>
      <c r="C65" s="36"/>
      <c r="D65" s="37"/>
      <c r="E65" s="38"/>
      <c r="F65" s="17">
        <f t="shared" si="8"/>
        <v>0</v>
      </c>
      <c r="G65" s="26"/>
      <c r="H65" s="22"/>
      <c r="I65" s="55">
        <v>6500</v>
      </c>
      <c r="J65" s="56" t="s">
        <v>71</v>
      </c>
      <c r="K65" s="57" t="s">
        <v>79</v>
      </c>
      <c r="L65" s="52"/>
      <c r="M65" s="53"/>
      <c r="N65" s="53"/>
      <c r="O65" s="52"/>
    </row>
    <row r="66" s="1" customFormat="1" ht="18" customHeight="1" spans="1:15">
      <c r="A66" s="35"/>
      <c r="B66" s="17">
        <f t="shared" si="7"/>
        <v>0</v>
      </c>
      <c r="C66" s="36"/>
      <c r="D66" s="37"/>
      <c r="E66" s="38"/>
      <c r="F66" s="17">
        <f t="shared" si="8"/>
        <v>0</v>
      </c>
      <c r="G66" s="26"/>
      <c r="H66" s="22"/>
      <c r="I66" s="23">
        <v>184973</v>
      </c>
      <c r="J66" s="49" t="s">
        <v>74</v>
      </c>
      <c r="K66" s="51" t="s">
        <v>80</v>
      </c>
      <c r="L66" s="52"/>
      <c r="M66" s="53"/>
      <c r="N66" s="53"/>
      <c r="O66" s="52"/>
    </row>
    <row r="67" s="1" customFormat="1" ht="18" customHeight="1" spans="1:15">
      <c r="A67" s="35"/>
      <c r="B67" s="17">
        <f t="shared" ref="B67:B70" si="9">ROUND(G67/(1+E67),2)</f>
        <v>0</v>
      </c>
      <c r="C67" s="36"/>
      <c r="D67" s="37"/>
      <c r="E67" s="38"/>
      <c r="F67" s="17">
        <f t="shared" ref="F67:F70" si="10">ROUND(G67/(1+E67)*E67,2)</f>
        <v>0</v>
      </c>
      <c r="G67" s="26"/>
      <c r="H67" s="22"/>
      <c r="I67" s="23">
        <v>200793</v>
      </c>
      <c r="J67" s="49" t="s">
        <v>74</v>
      </c>
      <c r="K67" s="51" t="s">
        <v>81</v>
      </c>
      <c r="L67" s="52"/>
      <c r="M67" s="53"/>
      <c r="N67" s="53"/>
      <c r="O67" s="52"/>
    </row>
    <row r="68" s="1" customFormat="1" ht="18" customHeight="1" spans="1:15">
      <c r="A68" s="35"/>
      <c r="B68" s="17">
        <f t="shared" si="9"/>
        <v>88485</v>
      </c>
      <c r="C68" s="36"/>
      <c r="D68" s="37"/>
      <c r="E68" s="38"/>
      <c r="F68" s="17">
        <f t="shared" si="10"/>
        <v>0</v>
      </c>
      <c r="G68" s="26">
        <f>22500+41085+24900</f>
        <v>88485</v>
      </c>
      <c r="H68" s="22"/>
      <c r="I68" s="23">
        <f>G68</f>
        <v>88485</v>
      </c>
      <c r="J68" s="49" t="s">
        <v>74</v>
      </c>
      <c r="K68" s="51" t="s">
        <v>82</v>
      </c>
      <c r="L68" s="52"/>
      <c r="M68" s="53"/>
      <c r="N68" s="53"/>
      <c r="O68" s="52"/>
    </row>
    <row r="69" s="1" customFormat="1" ht="18" customHeight="1" spans="1:15">
      <c r="A69" s="35"/>
      <c r="B69" s="17">
        <f t="shared" si="9"/>
        <v>0</v>
      </c>
      <c r="C69" s="36"/>
      <c r="D69" s="37"/>
      <c r="E69" s="38"/>
      <c r="F69" s="17">
        <f t="shared" si="10"/>
        <v>0</v>
      </c>
      <c r="G69" s="26"/>
      <c r="H69" s="22"/>
      <c r="I69" s="23">
        <v>500</v>
      </c>
      <c r="J69" s="49" t="s">
        <v>74</v>
      </c>
      <c r="K69" s="51" t="s">
        <v>83</v>
      </c>
      <c r="L69" s="52"/>
      <c r="M69" s="53"/>
      <c r="N69" s="53"/>
      <c r="O69" s="52"/>
    </row>
    <row r="70" s="1" customFormat="1" ht="18" customHeight="1" spans="1:15">
      <c r="A70" s="35"/>
      <c r="B70" s="17">
        <f t="shared" si="9"/>
        <v>0</v>
      </c>
      <c r="C70" s="36"/>
      <c r="D70" s="37"/>
      <c r="E70" s="38"/>
      <c r="F70" s="17">
        <f t="shared" si="10"/>
        <v>0</v>
      </c>
      <c r="G70" s="26"/>
      <c r="H70" s="22"/>
      <c r="I70" s="23"/>
      <c r="J70" s="49"/>
      <c r="K70" s="51"/>
      <c r="L70" s="52"/>
      <c r="M70" s="53"/>
      <c r="N70" s="53"/>
      <c r="O70" s="52"/>
    </row>
    <row r="71" ht="18" customHeight="1" spans="1:15">
      <c r="A71" s="30" t="s">
        <v>24</v>
      </c>
      <c r="B71" s="29">
        <f>SUM(B14:B70)</f>
        <v>18360771.36</v>
      </c>
      <c r="C71" s="30"/>
      <c r="D71" s="60"/>
      <c r="E71" s="60"/>
      <c r="F71" s="32">
        <f>SUM(F14:F70)</f>
        <v>1192198.92</v>
      </c>
      <c r="G71" s="61">
        <f>SUM(G14:G70)</f>
        <v>19552970.28</v>
      </c>
      <c r="H71" s="62"/>
      <c r="I71" s="31">
        <f>SUM(I14:I70)</f>
        <v>17696866</v>
      </c>
      <c r="J71" s="77"/>
      <c r="K71" s="60"/>
      <c r="L71" s="33"/>
      <c r="M71" s="49"/>
      <c r="N71" s="49"/>
      <c r="O71" s="33"/>
    </row>
    <row r="72" ht="18" customHeight="1" spans="1:14">
      <c r="A72" s="63" t="s">
        <v>84</v>
      </c>
      <c r="B72" s="64">
        <f>B11*0.976</f>
        <v>17045065.826055</v>
      </c>
      <c r="C72" s="63"/>
      <c r="D72" s="65"/>
      <c r="E72" s="65"/>
      <c r="F72" s="64"/>
      <c r="G72" s="64">
        <f>G11-G71</f>
        <v>-356104.280000001</v>
      </c>
      <c r="H72" s="21" t="s">
        <v>85</v>
      </c>
      <c r="I72" s="31">
        <f>I11-I71</f>
        <v>0</v>
      </c>
      <c r="J72" s="6"/>
      <c r="K72" s="78"/>
      <c r="M72" s="79"/>
      <c r="N72" s="79"/>
    </row>
    <row r="73" ht="18" customHeight="1" spans="1:19">
      <c r="A73" s="63" t="s">
        <v>86</v>
      </c>
      <c r="B73" s="64">
        <f>B72-B71</f>
        <v>-1315705.533945</v>
      </c>
      <c r="C73" s="63"/>
      <c r="D73" s="65"/>
      <c r="E73" s="65"/>
      <c r="F73" s="64"/>
      <c r="G73" s="64"/>
      <c r="H73" s="66"/>
      <c r="I73" s="64"/>
      <c r="J73" s="6"/>
      <c r="K73" s="78"/>
      <c r="M73" s="79"/>
      <c r="N73" s="79"/>
      <c r="Q73" s="1"/>
      <c r="R73" s="1"/>
      <c r="S73" s="1"/>
    </row>
    <row r="74" ht="18" customHeight="1" spans="1:3">
      <c r="A74" s="2" t="s">
        <v>87</v>
      </c>
      <c r="C74" s="2"/>
    </row>
    <row r="75" ht="18" customHeight="1" spans="1:17">
      <c r="A75" s="21" t="s">
        <v>88</v>
      </c>
      <c r="B75" s="20" t="s">
        <v>89</v>
      </c>
      <c r="C75" s="33"/>
      <c r="D75" s="21" t="s">
        <v>88</v>
      </c>
      <c r="E75" s="19" t="s">
        <v>18</v>
      </c>
      <c r="F75" s="20" t="s">
        <v>89</v>
      </c>
      <c r="G75" s="20" t="s">
        <v>90</v>
      </c>
      <c r="H75" s="67" t="s">
        <v>91</v>
      </c>
      <c r="I75" s="15" t="s">
        <v>92</v>
      </c>
      <c r="L75" s="3"/>
      <c r="Q75" s="64"/>
    </row>
    <row r="76" ht="18" customHeight="1" spans="1:9">
      <c r="A76" s="33" t="s">
        <v>93</v>
      </c>
      <c r="B76" s="17">
        <f>(B72-B71)*0.25</f>
        <v>-328926.383486249</v>
      </c>
      <c r="C76" s="33"/>
      <c r="D76" s="28" t="s">
        <v>94</v>
      </c>
      <c r="E76" s="21" t="s">
        <v>95</v>
      </c>
      <c r="F76" s="32">
        <f>F11-F71</f>
        <v>191176.15522936</v>
      </c>
      <c r="G76" s="32">
        <f>(F7+F8)-F15-F17-F19-F20-F21-F22-F24-F30</f>
        <v>176232.491818182</v>
      </c>
      <c r="H76" s="68">
        <f>F9-F32-F33-F36-F37-F39-F41-F43-F45-F48</f>
        <v>-60525.111818182</v>
      </c>
      <c r="I76" s="15">
        <f>F10+H76</f>
        <v>35805.1634111758</v>
      </c>
    </row>
    <row r="77" ht="18" customHeight="1" spans="1:9">
      <c r="A77" s="33" t="s">
        <v>96</v>
      </c>
      <c r="B77" s="69" t="s">
        <v>97</v>
      </c>
      <c r="C77" s="33"/>
      <c r="D77" s="70" t="s">
        <v>98</v>
      </c>
      <c r="E77" s="13">
        <v>0.05</v>
      </c>
      <c r="F77" s="23">
        <f>F76*E77</f>
        <v>9558.80776146801</v>
      </c>
      <c r="G77" s="23">
        <f>G76*E77</f>
        <v>8811.6245909091</v>
      </c>
      <c r="H77" s="71">
        <v>0</v>
      </c>
      <c r="I77" s="15">
        <f>I76*0.07</f>
        <v>2506.3614387823</v>
      </c>
    </row>
    <row r="78" ht="18" customHeight="1" spans="1:9">
      <c r="A78" s="33" t="s">
        <v>75</v>
      </c>
      <c r="B78" s="69"/>
      <c r="C78" s="33"/>
      <c r="D78" s="70" t="s">
        <v>99</v>
      </c>
      <c r="E78" s="13">
        <v>0.03</v>
      </c>
      <c r="F78" s="23">
        <f>F76*E78</f>
        <v>5735.2846568808</v>
      </c>
      <c r="G78" s="23">
        <f>G76*E78</f>
        <v>5286.97475454546</v>
      </c>
      <c r="H78" s="71">
        <v>0</v>
      </c>
      <c r="I78" s="15">
        <f>I76*E78</f>
        <v>1074.15490233527</v>
      </c>
    </row>
    <row r="79" ht="18" customHeight="1" spans="1:9">
      <c r="A79" s="33"/>
      <c r="B79" s="23"/>
      <c r="C79" s="33"/>
      <c r="D79" s="70" t="s">
        <v>100</v>
      </c>
      <c r="E79" s="13">
        <v>0.02</v>
      </c>
      <c r="F79" s="23">
        <f>F76*E79</f>
        <v>3823.5231045872</v>
      </c>
      <c r="G79" s="23">
        <f>G76*E79</f>
        <v>3524.64983636364</v>
      </c>
      <c r="H79" s="71">
        <v>0</v>
      </c>
      <c r="I79" s="15">
        <f>I76*E79</f>
        <v>716.103268223515</v>
      </c>
    </row>
    <row r="80" ht="18" customHeight="1" spans="1:9">
      <c r="A80" s="28" t="s">
        <v>101</v>
      </c>
      <c r="B80" s="29">
        <f>SUM(B76:B79)</f>
        <v>-328926.383486249</v>
      </c>
      <c r="C80" s="33"/>
      <c r="D80" s="34" t="s">
        <v>101</v>
      </c>
      <c r="E80" s="28"/>
      <c r="F80" s="32">
        <f>SUM(F76:F79)</f>
        <v>210293.770752296</v>
      </c>
      <c r="G80" s="32">
        <f>SUM(G76:G79)</f>
        <v>193855.741</v>
      </c>
      <c r="H80" s="68">
        <v>0</v>
      </c>
      <c r="I80" s="15">
        <f>SUM(I76:I79)</f>
        <v>40101.7830205169</v>
      </c>
    </row>
    <row r="81" ht="18" customHeight="1" spans="3:9">
      <c r="C81" s="2"/>
      <c r="D81" s="11" t="s">
        <v>75</v>
      </c>
      <c r="E81" s="54">
        <v>0.0006</v>
      </c>
      <c r="F81" s="23">
        <f>B11*E81</f>
        <v>10478.5240733945</v>
      </c>
      <c r="G81" s="23">
        <f>(B7+B8)*E81</f>
        <v>6936.47236363636</v>
      </c>
      <c r="H81" s="71">
        <f>B9*E81</f>
        <v>2716.36363636364</v>
      </c>
      <c r="I81" s="15">
        <f>E81*B10</f>
        <v>825.688073394498</v>
      </c>
    </row>
    <row r="82" ht="18" customHeight="1" spans="3:9">
      <c r="C82" s="2"/>
      <c r="D82" s="19" t="s">
        <v>101</v>
      </c>
      <c r="E82" s="60"/>
      <c r="F82" s="31">
        <f>F81</f>
        <v>10478.5240733945</v>
      </c>
      <c r="G82" s="31">
        <f>G81</f>
        <v>6936.47236363636</v>
      </c>
      <c r="H82" s="61">
        <f>H81</f>
        <v>2716.36363636364</v>
      </c>
      <c r="I82" s="15"/>
    </row>
    <row r="83" ht="18" customHeight="1" spans="3:9">
      <c r="C83" s="2"/>
      <c r="D83" s="19" t="s">
        <v>24</v>
      </c>
      <c r="E83" s="30"/>
      <c r="F83" s="31">
        <f>F80+F82</f>
        <v>220772.294825691</v>
      </c>
      <c r="G83" s="31">
        <f>G80+G82</f>
        <v>200792.213363636</v>
      </c>
      <c r="H83" s="61">
        <f>H80+H82</f>
        <v>2716.36363636364</v>
      </c>
      <c r="I83" s="15"/>
    </row>
    <row r="84" ht="18" customHeight="1" spans="3:9">
      <c r="C84" s="2"/>
      <c r="D84" s="72" t="s">
        <v>93</v>
      </c>
      <c r="E84" s="73">
        <v>0.016</v>
      </c>
      <c r="F84" s="74">
        <f>B11*E84</f>
        <v>279427.308623853</v>
      </c>
      <c r="G84" s="74">
        <f>(B7+B8)*E84</f>
        <v>184972.596363636</v>
      </c>
      <c r="H84" s="75"/>
      <c r="I84" s="15"/>
    </row>
    <row r="85" ht="18" customHeight="1" spans="3:9">
      <c r="C85" s="2"/>
      <c r="D85" s="30" t="s">
        <v>93</v>
      </c>
      <c r="E85" s="60">
        <v>0.006</v>
      </c>
      <c r="F85" s="31">
        <f>B11*E85</f>
        <v>104785.240733945</v>
      </c>
      <c r="G85" s="31">
        <f>(B7+B8)*E85</f>
        <v>69364.7236363636</v>
      </c>
      <c r="H85" s="61">
        <f>B9*E85</f>
        <v>27163.6363636364</v>
      </c>
      <c r="I85" s="15">
        <f>E85*G10</f>
        <v>9000</v>
      </c>
    </row>
    <row r="86" ht="18" customHeight="1" spans="3:9">
      <c r="C86" s="2"/>
      <c r="D86" s="4" t="s">
        <v>24</v>
      </c>
      <c r="G86" s="76">
        <f>G84-G85</f>
        <v>115607.872727273</v>
      </c>
      <c r="I86" s="15">
        <f>I80+I81+I85</f>
        <v>49927.4710939114</v>
      </c>
    </row>
    <row r="87" ht="18" customHeight="1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婷婷</cp:lastModifiedBy>
  <dcterms:created xsi:type="dcterms:W3CDTF">2016-07-12T06:03:00Z</dcterms:created>
  <cp:lastPrinted>2016-11-23T10:22:00Z</cp:lastPrinted>
  <dcterms:modified xsi:type="dcterms:W3CDTF">2021-10-25T06:11:25Z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9FB7D9DE962247DB8BCEC34E4CE2A293</vt:lpwstr>
  </property>
</Properties>
</file>