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3" r:id="rId1"/>
    <sheet name="旧" sheetId="1" r:id="rId2"/>
  </sheets>
  <definedNames>
    <definedName name="_xlnm._FilterDatabase" localSheetId="0" hidden="1">新!$A$13:$U$68</definedName>
    <definedName name="_xlnm._FilterDatabase" localSheetId="1" hidden="1">旧!$A$13:$U$66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A61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62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5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6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<sst xmlns="http://schemas.openxmlformats.org/spreadsheetml/2006/main" count="370" uniqueCount="96">
  <si>
    <t>C9922  330 国道淳安临岐至临安湍口段改建工程（淳安段）交安施工第S04标段</t>
  </si>
  <si>
    <t>中标日期</t>
  </si>
  <si>
    <t>中标价</t>
  </si>
  <si>
    <t>负责人</t>
  </si>
  <si>
    <t>周恒泉</t>
  </si>
  <si>
    <t>建设单位</t>
  </si>
  <si>
    <t>淳安县交通发展投资集团有限公司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</si>
  <si>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</si>
  <si>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</si>
  <si>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</si>
  <si>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</si>
  <si>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</si>
  <si>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</si>
  <si>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</si>
  <si>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</si>
  <si>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</si>
  <si>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</si>
  <si>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</si>
  <si>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</si>
  <si>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</si>
  <si>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</si>
  <si>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专户</t>
  </si>
  <si>
    <t>民工工资户</t>
  </si>
  <si>
    <t>缺回单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</si>
  <si>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</si>
  <si>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</si>
  <si>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</si>
  <si>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</si>
  <si>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</si>
  <si>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</si>
  <si>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</si>
  <si>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</si>
  <si>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</si>
  <si>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</si>
  <si>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</si>
  <si>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</si>
  <si>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</si>
  <si>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</si>
  <si>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</si>
  <si>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南京天意公路材料有限公司</t>
  </si>
  <si>
    <t>立柱管、螺栓</t>
  </si>
  <si>
    <t>淳安高杰公路工程有限公司</t>
  </si>
  <si>
    <t>劳务</t>
  </si>
  <si>
    <t>普</t>
  </si>
  <si>
    <t>民工工资</t>
  </si>
  <si>
    <t>机械</t>
  </si>
  <si>
    <t>浙江银龙电力设备制造有限公司</t>
  </si>
  <si>
    <t>护栏</t>
  </si>
  <si>
    <t>淳安县交通工程试验检测中心有限公司</t>
  </si>
  <si>
    <t>试验检测费</t>
  </si>
  <si>
    <t>退代付材料款</t>
  </si>
  <si>
    <t>浙江兄弟路标涂料有限公司</t>
  </si>
  <si>
    <t>涂料124吨</t>
  </si>
  <si>
    <t>有</t>
  </si>
  <si>
    <t>补货单</t>
  </si>
  <si>
    <t>工程服务</t>
  </si>
  <si>
    <t>机械租赁</t>
  </si>
  <si>
    <t>护栏板1122片、防阻块3330个</t>
  </si>
  <si>
    <t>淳安县千媒广告工作室</t>
  </si>
  <si>
    <t>标识牌、路锥</t>
  </si>
  <si>
    <t>劳务费</t>
  </si>
  <si>
    <t>代付材料款退回</t>
  </si>
  <si>
    <t>零星材料款</t>
  </si>
  <si>
    <t>1-20收周恒泉</t>
  </si>
  <si>
    <t>3次</t>
  </si>
  <si>
    <t>扣</t>
  </si>
  <si>
    <t>管理费</t>
  </si>
  <si>
    <t>企税1.6%</t>
  </si>
  <si>
    <t>水利基金</t>
  </si>
  <si>
    <t>2次</t>
  </si>
  <si>
    <t>收</t>
  </si>
  <si>
    <t>孙会计卡</t>
  </si>
  <si>
    <t>2019.9.30</t>
  </si>
  <si>
    <t>代办费</t>
  </si>
  <si>
    <t xml:space="preserve"> </t>
  </si>
  <si>
    <t>应提供成本</t>
  </si>
  <si>
    <t>可支付金额</t>
  </si>
  <si>
    <t>尚需提供成本</t>
  </si>
  <si>
    <t>公司代缴税金：</t>
  </si>
  <si>
    <t>税种</t>
  </si>
  <si>
    <t>税额</t>
  </si>
  <si>
    <t>19.1月开票扣税</t>
  </si>
  <si>
    <t>19.9月开票扣税</t>
  </si>
  <si>
    <t>20.1月开票扣税</t>
  </si>
  <si>
    <t>税金</t>
  </si>
  <si>
    <t>企业所得税</t>
  </si>
  <si>
    <t>增值税</t>
  </si>
  <si>
    <t>差额</t>
  </si>
  <si>
    <t>印花税</t>
  </si>
  <si>
    <t>已交</t>
  </si>
  <si>
    <t>城市维护建设税</t>
  </si>
  <si>
    <t>教育费附加</t>
  </si>
  <si>
    <t>地方教育费附加</t>
  </si>
  <si>
    <t>小计</t>
  </si>
  <si>
    <t>330 国道淳安临岐至临安湍口段改建工程（淳安段）交安施工第S04标段</t>
  </si>
  <si>
    <t>收周恒泉</t>
  </si>
</sst>
</file>

<file path=xl/styles.xml><?xml version="1.0" encoding="utf-8"?>
<styleSheet xmlns="http://schemas.openxmlformats.org/spreadsheetml/2006/main">
  <numFmts count="9">
    <numFmt numFmtId="176" formatCode="#,##0_ "/>
    <numFmt numFmtId="41" formatCode="_ * #,##0_ ;_ * \-#,##0_ ;_ * &quot;-&quot;_ ;_ @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yy/m/d;@"/>
    <numFmt numFmtId="179" formatCode="#,##0.00_ "/>
    <numFmt numFmtId="180" formatCode="yyyy&quot;年&quot;m&quot;月&quot;;@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BCDDF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23" fillId="23" borderId="12" applyNumberFormat="0" applyAlignment="0" applyProtection="0">
      <alignment vertical="center"/>
    </xf>
    <xf numFmtId="0" fontId="25" fillId="30" borderId="14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88">
    <xf numFmtId="0" fontId="0" fillId="0" borderId="0" xfId="0"/>
    <xf numFmtId="0" fontId="1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Border="1" applyAlignment="1">
      <alignment vertical="center"/>
    </xf>
    <xf numFmtId="0" fontId="4" fillId="0" borderId="0" xfId="0" applyFont="1"/>
    <xf numFmtId="179" fontId="2" fillId="0" borderId="2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177" fontId="2" fillId="0" borderId="2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3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179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5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5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6" borderId="2" xfId="11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9" fontId="1" fillId="6" borderId="2" xfId="11" applyFont="1" applyFill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9" fontId="2" fillId="6" borderId="2" xfId="11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7" fontId="5" fillId="0" borderId="4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horizontal="left" vertical="center"/>
    </xf>
    <xf numFmtId="178" fontId="2" fillId="0" borderId="6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7" borderId="2" xfId="0" applyNumberFormat="1" applyFont="1" applyFill="1" applyBorder="1" applyAlignment="1">
      <alignment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79" fontId="2" fillId="0" borderId="2" xfId="0" applyNumberFormat="1" applyFont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58" fontId="1" fillId="0" borderId="2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9" fontId="4" fillId="0" borderId="0" xfId="0" applyNumberFormat="1" applyFont="1"/>
    <xf numFmtId="179" fontId="2" fillId="0" borderId="2" xfId="0" applyNumberFormat="1" applyFont="1" applyFill="1" applyBorder="1" applyAlignment="1">
      <alignment vertical="center"/>
    </xf>
    <xf numFmtId="179" fontId="1" fillId="3" borderId="2" xfId="0" applyNumberFormat="1" applyFont="1" applyFill="1" applyBorder="1" applyAlignment="1">
      <alignment vertical="center"/>
    </xf>
    <xf numFmtId="179" fontId="6" fillId="0" borderId="2" xfId="0" applyNumberFormat="1" applyFont="1" applyBorder="1" applyAlignment="1">
      <alignment vertical="center"/>
    </xf>
    <xf numFmtId="9" fontId="6" fillId="0" borderId="2" xfId="11" applyFont="1" applyBorder="1" applyAlignment="1">
      <alignment horizontal="center" vertical="center"/>
    </xf>
    <xf numFmtId="179" fontId="6" fillId="0" borderId="2" xfId="0" applyNumberFormat="1" applyFont="1" applyFill="1" applyBorder="1" applyAlignment="1">
      <alignment vertical="center"/>
    </xf>
    <xf numFmtId="9" fontId="6" fillId="0" borderId="2" xfId="11" applyNumberFormat="1" applyFont="1" applyBorder="1" applyAlignment="1">
      <alignment horizontal="center" vertical="center"/>
    </xf>
    <xf numFmtId="179" fontId="6" fillId="3" borderId="2" xfId="0" applyNumberFormat="1" applyFont="1" applyFill="1" applyBorder="1" applyAlignment="1">
      <alignment vertical="center"/>
    </xf>
    <xf numFmtId="179" fontId="5" fillId="4" borderId="2" xfId="0" applyNumberFormat="1" applyFont="1" applyFill="1" applyBorder="1" applyAlignment="1">
      <alignment vertical="center"/>
    </xf>
    <xf numFmtId="179" fontId="5" fillId="5" borderId="2" xfId="0" applyNumberFormat="1" applyFont="1" applyFill="1" applyBorder="1" applyAlignment="1">
      <alignment vertical="center"/>
    </xf>
    <xf numFmtId="179" fontId="2" fillId="3" borderId="2" xfId="0" applyNumberFormat="1" applyFont="1" applyFill="1" applyBorder="1" applyAlignment="1">
      <alignment vertical="center"/>
    </xf>
    <xf numFmtId="179" fontId="1" fillId="0" borderId="2" xfId="0" applyNumberFormat="1" applyFont="1" applyBorder="1" applyAlignment="1">
      <alignment vertical="center"/>
    </xf>
    <xf numFmtId="179" fontId="5" fillId="0" borderId="4" xfId="0" applyNumberFormat="1" applyFont="1" applyBorder="1" applyAlignment="1">
      <alignment vertical="center"/>
    </xf>
    <xf numFmtId="179" fontId="2" fillId="7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7"/>
  <sheetViews>
    <sheetView tabSelected="1" topLeftCell="A25" workbookViewId="0">
      <selection activeCell="G42" sqref="G42:G54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12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43271</v>
      </c>
      <c r="C2" s="11" t="s">
        <v>2</v>
      </c>
      <c r="D2" s="74">
        <v>6530785</v>
      </c>
      <c r="E2" s="13" t="s">
        <v>3</v>
      </c>
      <c r="F2" s="14" t="s">
        <v>4</v>
      </c>
      <c r="G2" s="15" t="s">
        <v>5</v>
      </c>
      <c r="H2" s="16" t="s">
        <v>6</v>
      </c>
      <c r="I2" s="56"/>
      <c r="J2" s="57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8"/>
      <c r="J3" s="18"/>
      <c r="K3" s="18"/>
      <c r="L3" s="18"/>
    </row>
    <row r="4" ht="18" customHeight="1" spans="1:12">
      <c r="A4" s="2" t="s">
        <v>9</v>
      </c>
      <c r="H4" s="18"/>
      <c r="I4" s="58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43486</v>
      </c>
      <c r="B7" s="11">
        <f t="shared" ref="B7:B10" si="0">G7/(1+C7+E7)</f>
        <v>2226620</v>
      </c>
      <c r="C7" s="24">
        <v>0.02</v>
      </c>
      <c r="D7" s="75">
        <f t="shared" ref="D7:D10" si="1">G7/(1+E7+C7)*C7</f>
        <v>44532.4</v>
      </c>
      <c r="E7" s="24">
        <v>0.08</v>
      </c>
      <c r="F7" s="11">
        <f t="shared" ref="F7:F10" si="2">G7/(1+C7+E7)*E7</f>
        <v>178129.6</v>
      </c>
      <c r="G7" s="76">
        <v>2449282</v>
      </c>
      <c r="H7" s="22">
        <v>43494</v>
      </c>
      <c r="I7" s="11">
        <v>1623875</v>
      </c>
      <c r="J7" s="59" t="s">
        <v>21</v>
      </c>
    </row>
    <row r="8" ht="18" customHeight="1" spans="1:12">
      <c r="A8" s="22">
        <v>43725</v>
      </c>
      <c r="B8" s="11">
        <f t="shared" si="0"/>
        <v>1169346.78899083</v>
      </c>
      <c r="C8" s="24">
        <v>0.02</v>
      </c>
      <c r="D8" s="75">
        <f t="shared" si="1"/>
        <v>23386.9357798165</v>
      </c>
      <c r="E8" s="27">
        <v>0.07</v>
      </c>
      <c r="F8" s="11">
        <f t="shared" si="2"/>
        <v>81854.2752293578</v>
      </c>
      <c r="G8" s="76">
        <v>1274588</v>
      </c>
      <c r="H8" s="22">
        <v>43494</v>
      </c>
      <c r="I8" s="87">
        <v>286566</v>
      </c>
      <c r="J8" s="61" t="s">
        <v>22</v>
      </c>
      <c r="K8" s="62"/>
      <c r="L8" s="63" t="s">
        <v>23</v>
      </c>
    </row>
    <row r="9" ht="18" customHeight="1" spans="1:12">
      <c r="A9" s="22">
        <v>43845</v>
      </c>
      <c r="B9" s="11">
        <f t="shared" si="0"/>
        <v>1818808.25688073</v>
      </c>
      <c r="C9" s="24">
        <v>0.02</v>
      </c>
      <c r="D9" s="75">
        <f t="shared" si="1"/>
        <v>36376.1651376147</v>
      </c>
      <c r="E9" s="24">
        <v>0.07</v>
      </c>
      <c r="F9" s="11">
        <f t="shared" si="2"/>
        <v>127316.577981651</v>
      </c>
      <c r="G9" s="76">
        <v>1982501</v>
      </c>
      <c r="H9" s="22">
        <v>43737</v>
      </c>
      <c r="I9" s="11">
        <v>1019670</v>
      </c>
      <c r="J9" s="59" t="s">
        <v>21</v>
      </c>
      <c r="L9" s="6">
        <f>G9*0.02</f>
        <v>39650.02</v>
      </c>
    </row>
    <row r="10" ht="18" customHeight="1" spans="1:10">
      <c r="A10" s="22"/>
      <c r="B10" s="77">
        <f t="shared" si="0"/>
        <v>500276.146788991</v>
      </c>
      <c r="C10" s="78">
        <v>0.02</v>
      </c>
      <c r="D10" s="79">
        <f t="shared" si="1"/>
        <v>10005.5229357798</v>
      </c>
      <c r="E10" s="80">
        <v>0.07</v>
      </c>
      <c r="F10" s="77">
        <f t="shared" si="2"/>
        <v>35019.3302752294</v>
      </c>
      <c r="G10" s="81">
        <v>545301</v>
      </c>
      <c r="H10" s="22">
        <v>43847</v>
      </c>
      <c r="I10" s="11">
        <v>1586001</v>
      </c>
      <c r="J10" s="59" t="s">
        <v>21</v>
      </c>
    </row>
    <row r="11" ht="18" customHeight="1" spans="1:10">
      <c r="A11" s="28" t="s">
        <v>24</v>
      </c>
      <c r="B11" s="82">
        <f t="shared" ref="B11:G11" si="3">SUM(B7:B10)</f>
        <v>5715051.19266055</v>
      </c>
      <c r="C11" s="30"/>
      <c r="D11" s="30">
        <f t="shared" si="3"/>
        <v>114301.023853211</v>
      </c>
      <c r="E11" s="30"/>
      <c r="F11" s="83">
        <f t="shared" si="3"/>
        <v>422319.783486239</v>
      </c>
      <c r="G11" s="30">
        <f t="shared" si="3"/>
        <v>6251672</v>
      </c>
      <c r="H11" s="33"/>
      <c r="I11" s="30">
        <f>SUM(I7:I10)</f>
        <v>4516112</v>
      </c>
      <c r="J11" s="33"/>
    </row>
    <row r="12" ht="18" customHeight="1" spans="1:12">
      <c r="A12" s="2" t="s">
        <v>25</v>
      </c>
      <c r="J12" s="4"/>
      <c r="K12" s="4"/>
      <c r="L12" s="5"/>
    </row>
    <row r="13" ht="18" customHeight="1" spans="1:15">
      <c r="A13" s="34" t="s">
        <v>26</v>
      </c>
      <c r="B13" s="20" t="s">
        <v>27</v>
      </c>
      <c r="C13" s="19" t="s">
        <v>28</v>
      </c>
      <c r="D13" s="19" t="s">
        <v>29</v>
      </c>
      <c r="E13" s="19" t="s">
        <v>16</v>
      </c>
      <c r="F13" s="20" t="s">
        <v>30</v>
      </c>
      <c r="G13" s="20" t="s">
        <v>14</v>
      </c>
      <c r="H13" s="19" t="s">
        <v>31</v>
      </c>
      <c r="I13" s="20" t="s">
        <v>32</v>
      </c>
      <c r="J13" s="19" t="s">
        <v>20</v>
      </c>
      <c r="K13" s="64" t="s">
        <v>33</v>
      </c>
      <c r="L13" s="21" t="s">
        <v>34</v>
      </c>
      <c r="M13" s="21" t="s">
        <v>35</v>
      </c>
      <c r="N13" s="21" t="s">
        <v>36</v>
      </c>
      <c r="O13" s="21" t="s">
        <v>37</v>
      </c>
    </row>
    <row r="14" ht="18" customHeight="1" spans="1:15">
      <c r="A14" s="35">
        <v>43466</v>
      </c>
      <c r="B14" s="11">
        <f t="shared" ref="B14:B52" si="4">ROUND(G14/(1+E14),2)</f>
        <v>1121074.35</v>
      </c>
      <c r="C14" s="36"/>
      <c r="D14" s="37" t="s">
        <v>38</v>
      </c>
      <c r="E14" s="38">
        <v>0.16</v>
      </c>
      <c r="F14" s="11">
        <f t="shared" ref="F14:F52" si="5">ROUND(G14/(1+E14)*E14,2)</f>
        <v>179371.9</v>
      </c>
      <c r="G14" s="84">
        <f>815848.5+484597.75</f>
        <v>1300446.25</v>
      </c>
      <c r="H14" s="22">
        <v>43496</v>
      </c>
      <c r="I14" s="11">
        <v>1000000</v>
      </c>
      <c r="J14" s="59" t="s">
        <v>21</v>
      </c>
      <c r="K14" s="55" t="s">
        <v>39</v>
      </c>
      <c r="L14" s="33" t="s">
        <v>40</v>
      </c>
      <c r="M14" s="59"/>
      <c r="N14" s="59"/>
      <c r="O14" s="33"/>
    </row>
    <row r="15" ht="18" customHeight="1" spans="1:15">
      <c r="A15" s="35">
        <v>43466</v>
      </c>
      <c r="B15" s="11">
        <f t="shared" si="4"/>
        <v>116504.85</v>
      </c>
      <c r="C15" s="36"/>
      <c r="D15" s="37" t="s">
        <v>38</v>
      </c>
      <c r="E15" s="38">
        <v>0.03</v>
      </c>
      <c r="F15" s="11">
        <f t="shared" si="5"/>
        <v>3495.15</v>
      </c>
      <c r="G15" s="84">
        <f>60000*2</f>
        <v>120000</v>
      </c>
      <c r="H15" s="22">
        <v>43496</v>
      </c>
      <c r="I15" s="11">
        <f>910441-286566</f>
        <v>623875</v>
      </c>
      <c r="J15" s="59" t="s">
        <v>21</v>
      </c>
      <c r="K15" s="55" t="s">
        <v>41</v>
      </c>
      <c r="L15" s="33" t="s">
        <v>42</v>
      </c>
      <c r="M15" s="59"/>
      <c r="N15" s="59"/>
      <c r="O15" s="33"/>
    </row>
    <row r="16" ht="18" customHeight="1" spans="1:15">
      <c r="A16" s="35">
        <v>43466</v>
      </c>
      <c r="B16" s="11">
        <f t="shared" si="4"/>
        <v>600000</v>
      </c>
      <c r="C16" s="36"/>
      <c r="D16" s="37" t="s">
        <v>43</v>
      </c>
      <c r="E16" s="38"/>
      <c r="F16" s="11">
        <f t="shared" si="5"/>
        <v>0</v>
      </c>
      <c r="G16" s="84">
        <f>100000*6</f>
        <v>600000</v>
      </c>
      <c r="H16" s="22"/>
      <c r="I16" s="30">
        <v>286566</v>
      </c>
      <c r="J16" s="21" t="s">
        <v>44</v>
      </c>
      <c r="K16" s="55" t="s">
        <v>41</v>
      </c>
      <c r="L16" s="33" t="s">
        <v>42</v>
      </c>
      <c r="M16" s="59"/>
      <c r="N16" s="59"/>
      <c r="O16" s="33"/>
    </row>
    <row r="17" s="1" customFormat="1" ht="18" customHeight="1" spans="1:15">
      <c r="A17" s="35">
        <v>43466</v>
      </c>
      <c r="B17" s="11">
        <f t="shared" si="4"/>
        <v>379760</v>
      </c>
      <c r="C17" s="40"/>
      <c r="D17" s="37" t="s">
        <v>43</v>
      </c>
      <c r="E17" s="41"/>
      <c r="F17" s="11">
        <f t="shared" si="5"/>
        <v>0</v>
      </c>
      <c r="G17" s="76">
        <f>79760+100000*3</f>
        <v>379760</v>
      </c>
      <c r="H17" s="22"/>
      <c r="I17" s="11"/>
      <c r="J17" s="59"/>
      <c r="K17" s="55" t="s">
        <v>41</v>
      </c>
      <c r="L17" s="33" t="s">
        <v>45</v>
      </c>
      <c r="M17" s="65"/>
      <c r="N17" s="65"/>
      <c r="O17" s="33"/>
    </row>
    <row r="18" s="1" customFormat="1" ht="18" customHeight="1" spans="1:15">
      <c r="A18" s="35"/>
      <c r="B18" s="85">
        <f t="shared" si="4"/>
        <v>0</v>
      </c>
      <c r="C18" s="40"/>
      <c r="D18" s="37"/>
      <c r="E18" s="41"/>
      <c r="F18" s="85">
        <f t="shared" si="5"/>
        <v>0</v>
      </c>
      <c r="G18" s="76"/>
      <c r="H18" s="22">
        <v>43551</v>
      </c>
      <c r="I18" s="11">
        <v>-400000</v>
      </c>
      <c r="J18" s="59" t="s">
        <v>21</v>
      </c>
      <c r="K18" s="66" t="s">
        <v>4</v>
      </c>
      <c r="L18" s="67"/>
      <c r="M18" s="65"/>
      <c r="N18" s="65"/>
      <c r="O18" s="67"/>
    </row>
    <row r="19" ht="18" customHeight="1" spans="1:15">
      <c r="A19" s="42"/>
      <c r="B19" s="85">
        <f t="shared" si="4"/>
        <v>0</v>
      </c>
      <c r="C19" s="36"/>
      <c r="D19" s="37"/>
      <c r="E19" s="43"/>
      <c r="F19" s="85">
        <f t="shared" si="5"/>
        <v>0</v>
      </c>
      <c r="G19" s="84"/>
      <c r="H19" s="22">
        <v>43551</v>
      </c>
      <c r="I19" s="11">
        <v>400000</v>
      </c>
      <c r="J19" s="59" t="s">
        <v>21</v>
      </c>
      <c r="K19" s="55" t="s">
        <v>46</v>
      </c>
      <c r="L19" s="33" t="s">
        <v>47</v>
      </c>
      <c r="M19" s="59"/>
      <c r="N19" s="59"/>
      <c r="O19" s="33"/>
    </row>
    <row r="20" s="1" customFormat="1" ht="18" customHeight="1" spans="1:15">
      <c r="A20" s="42"/>
      <c r="B20" s="85">
        <f t="shared" si="4"/>
        <v>0</v>
      </c>
      <c r="C20" s="40"/>
      <c r="D20" s="44"/>
      <c r="E20" s="41"/>
      <c r="F20" s="85">
        <f t="shared" si="5"/>
        <v>0</v>
      </c>
      <c r="G20" s="76"/>
      <c r="H20" s="22">
        <v>43605</v>
      </c>
      <c r="I20" s="11">
        <v>-179862</v>
      </c>
      <c r="J20" s="59" t="s">
        <v>21</v>
      </c>
      <c r="K20" s="66" t="s">
        <v>4</v>
      </c>
      <c r="L20" s="67"/>
      <c r="M20" s="65"/>
      <c r="N20" s="65"/>
      <c r="O20" s="67"/>
    </row>
    <row r="21" s="1" customFormat="1" ht="18" customHeight="1" spans="1:15">
      <c r="A21" s="42">
        <v>43709</v>
      </c>
      <c r="B21" s="11">
        <f t="shared" si="4"/>
        <v>509218.58</v>
      </c>
      <c r="C21" s="36"/>
      <c r="D21" s="37" t="s">
        <v>38</v>
      </c>
      <c r="E21" s="43">
        <v>0.13</v>
      </c>
      <c r="F21" s="11">
        <f t="shared" si="5"/>
        <v>66198.42</v>
      </c>
      <c r="G21" s="84">
        <f>477947+97470</f>
        <v>575417</v>
      </c>
      <c r="H21" s="22">
        <v>43605</v>
      </c>
      <c r="I21" s="68">
        <v>179862</v>
      </c>
      <c r="J21" s="59" t="s">
        <v>21</v>
      </c>
      <c r="K21" s="55" t="s">
        <v>46</v>
      </c>
      <c r="L21" s="33" t="s">
        <v>47</v>
      </c>
      <c r="M21" s="65"/>
      <c r="N21" s="65"/>
      <c r="O21" s="67"/>
    </row>
    <row r="22" s="1" customFormat="1" ht="18" customHeight="1" spans="1:15">
      <c r="A22" s="42">
        <v>43709</v>
      </c>
      <c r="B22" s="11">
        <f t="shared" si="4"/>
        <v>84905.66</v>
      </c>
      <c r="C22" s="36"/>
      <c r="D22" s="37" t="s">
        <v>38</v>
      </c>
      <c r="E22" s="43">
        <v>0.06</v>
      </c>
      <c r="F22" s="11">
        <f t="shared" si="5"/>
        <v>5094.34</v>
      </c>
      <c r="G22" s="84">
        <v>90000</v>
      </c>
      <c r="H22" s="22">
        <v>43738</v>
      </c>
      <c r="I22" s="11">
        <v>90000</v>
      </c>
      <c r="J22" s="59" t="s">
        <v>21</v>
      </c>
      <c r="K22" s="66" t="s">
        <v>48</v>
      </c>
      <c r="L22" s="67" t="s">
        <v>49</v>
      </c>
      <c r="M22" s="65"/>
      <c r="N22" s="65"/>
      <c r="O22" s="67"/>
    </row>
    <row r="23" ht="18" customHeight="1" spans="1:15">
      <c r="A23" s="35">
        <v>43709</v>
      </c>
      <c r="B23" s="11">
        <f t="shared" si="4"/>
        <v>582524.27</v>
      </c>
      <c r="C23" s="36"/>
      <c r="D23" s="37" t="s">
        <v>38</v>
      </c>
      <c r="E23" s="43">
        <v>0.03</v>
      </c>
      <c r="F23" s="11">
        <f t="shared" si="5"/>
        <v>17475.73</v>
      </c>
      <c r="G23" s="84">
        <f>100000*6</f>
        <v>600000</v>
      </c>
      <c r="H23" s="22">
        <v>43738</v>
      </c>
      <c r="I23" s="11">
        <v>875885</v>
      </c>
      <c r="J23" s="59" t="s">
        <v>21</v>
      </c>
      <c r="K23" s="55" t="s">
        <v>41</v>
      </c>
      <c r="L23" s="33" t="s">
        <v>42</v>
      </c>
      <c r="M23" s="59"/>
      <c r="N23" s="59"/>
      <c r="O23" s="33"/>
    </row>
    <row r="24" customFormat="1" ht="18" customHeight="1" spans="1:15">
      <c r="A24" s="35"/>
      <c r="B24" s="11">
        <f t="shared" si="4"/>
        <v>0</v>
      </c>
      <c r="C24" s="36"/>
      <c r="D24" s="37"/>
      <c r="E24" s="43"/>
      <c r="F24" s="11">
        <f t="shared" si="5"/>
        <v>0</v>
      </c>
      <c r="G24" s="84"/>
      <c r="H24" s="22">
        <v>43738</v>
      </c>
      <c r="I24" s="11">
        <v>53821</v>
      </c>
      <c r="J24" s="59" t="s">
        <v>21</v>
      </c>
      <c r="K24" s="55" t="s">
        <v>4</v>
      </c>
      <c r="L24" s="33" t="s">
        <v>50</v>
      </c>
      <c r="M24" s="59"/>
      <c r="N24" s="59"/>
      <c r="O24" s="33"/>
    </row>
    <row r="25" customFormat="1" ht="18" customHeight="1" spans="1:15">
      <c r="A25" s="35">
        <v>43831</v>
      </c>
      <c r="B25" s="11">
        <f t="shared" si="4"/>
        <v>203694.69</v>
      </c>
      <c r="C25" s="36"/>
      <c r="D25" s="37" t="s">
        <v>38</v>
      </c>
      <c r="E25" s="43">
        <v>0.13</v>
      </c>
      <c r="F25" s="11">
        <f t="shared" si="5"/>
        <v>26480.31</v>
      </c>
      <c r="G25" s="84">
        <v>230175</v>
      </c>
      <c r="H25" s="22"/>
      <c r="I25" s="11"/>
      <c r="J25" s="59"/>
      <c r="K25" s="55" t="s">
        <v>51</v>
      </c>
      <c r="L25" s="33" t="s">
        <v>52</v>
      </c>
      <c r="M25" s="59" t="s">
        <v>53</v>
      </c>
      <c r="N25" s="69" t="s">
        <v>54</v>
      </c>
      <c r="O25" s="33"/>
    </row>
    <row r="26" customFormat="1" ht="18" customHeight="1" spans="1:15">
      <c r="A26" s="35">
        <v>43831</v>
      </c>
      <c r="B26" s="11">
        <f t="shared" si="4"/>
        <v>611650.49</v>
      </c>
      <c r="C26" s="36"/>
      <c r="D26" s="37" t="s">
        <v>38</v>
      </c>
      <c r="E26" s="43">
        <v>0.03</v>
      </c>
      <c r="F26" s="11">
        <f t="shared" si="5"/>
        <v>18349.51</v>
      </c>
      <c r="G26" s="84">
        <f>30000+100000+100000+100000+100000+100000+100000</f>
        <v>630000</v>
      </c>
      <c r="H26" s="22"/>
      <c r="I26" s="11"/>
      <c r="J26" s="59"/>
      <c r="K26" s="55" t="s">
        <v>41</v>
      </c>
      <c r="L26" s="33" t="s">
        <v>55</v>
      </c>
      <c r="M26" s="59"/>
      <c r="N26" s="59"/>
      <c r="O26" s="33"/>
    </row>
    <row r="27" customFormat="1" ht="18" customHeight="1" spans="1:15">
      <c r="A27" s="35">
        <v>43831</v>
      </c>
      <c r="B27" s="11">
        <f t="shared" si="4"/>
        <v>125786.41</v>
      </c>
      <c r="C27" s="45"/>
      <c r="D27" s="37" t="s">
        <v>38</v>
      </c>
      <c r="E27" s="43">
        <v>0.03</v>
      </c>
      <c r="F27" s="11">
        <f t="shared" si="5"/>
        <v>3773.59</v>
      </c>
      <c r="G27" s="84">
        <f>100000+29560</f>
        <v>129560</v>
      </c>
      <c r="H27" s="22"/>
      <c r="I27" s="11"/>
      <c r="J27" s="59"/>
      <c r="K27" s="55" t="s">
        <v>41</v>
      </c>
      <c r="L27" s="33" t="s">
        <v>56</v>
      </c>
      <c r="M27" s="59" t="s">
        <v>53</v>
      </c>
      <c r="N27" s="59" t="s">
        <v>53</v>
      </c>
      <c r="O27" s="33"/>
    </row>
    <row r="28" customFormat="1" ht="18" customHeight="1" spans="1:15">
      <c r="A28" s="35">
        <v>43831</v>
      </c>
      <c r="B28" s="11">
        <f t="shared" si="4"/>
        <v>728336.35</v>
      </c>
      <c r="C28" s="45"/>
      <c r="D28" s="37" t="s">
        <v>38</v>
      </c>
      <c r="E28" s="43">
        <v>0.13</v>
      </c>
      <c r="F28" s="11">
        <f t="shared" si="5"/>
        <v>94683.73</v>
      </c>
      <c r="G28" s="84">
        <v>823020.08</v>
      </c>
      <c r="H28" s="22"/>
      <c r="I28" s="11"/>
      <c r="J28" s="59"/>
      <c r="K28" s="55" t="s">
        <v>39</v>
      </c>
      <c r="L28" s="33" t="s">
        <v>57</v>
      </c>
      <c r="M28" s="59"/>
      <c r="N28" s="59" t="s">
        <v>53</v>
      </c>
      <c r="O28" s="33"/>
    </row>
    <row r="29" customFormat="1" ht="18" customHeight="1" spans="1:15">
      <c r="A29" s="35">
        <v>43831</v>
      </c>
      <c r="B29" s="11">
        <f t="shared" si="4"/>
        <v>70000</v>
      </c>
      <c r="C29" s="45"/>
      <c r="D29" s="37" t="s">
        <v>43</v>
      </c>
      <c r="E29" s="43"/>
      <c r="F29" s="11">
        <f t="shared" si="5"/>
        <v>0</v>
      </c>
      <c r="G29" s="84">
        <v>70000</v>
      </c>
      <c r="H29" s="22"/>
      <c r="I29" s="11"/>
      <c r="J29" s="59"/>
      <c r="K29" s="55" t="s">
        <v>58</v>
      </c>
      <c r="L29" s="33" t="s">
        <v>59</v>
      </c>
      <c r="M29" s="59"/>
      <c r="N29" s="59" t="s">
        <v>53</v>
      </c>
      <c r="O29" s="33"/>
    </row>
    <row r="30" customFormat="1" ht="18" customHeight="1" spans="1:15">
      <c r="A30" s="35"/>
      <c r="B30" s="11">
        <f t="shared" si="4"/>
        <v>0</v>
      </c>
      <c r="C30" s="45"/>
      <c r="D30" s="37"/>
      <c r="E30" s="43"/>
      <c r="F30" s="11">
        <f t="shared" si="5"/>
        <v>0</v>
      </c>
      <c r="G30" s="84"/>
      <c r="H30" s="22">
        <v>43851</v>
      </c>
      <c r="I30" s="11">
        <v>300000</v>
      </c>
      <c r="J30" s="59" t="s">
        <v>21</v>
      </c>
      <c r="K30" s="55" t="s">
        <v>39</v>
      </c>
      <c r="L30" s="33" t="s">
        <v>47</v>
      </c>
      <c r="M30" s="59"/>
      <c r="N30" s="59"/>
      <c r="O30" s="33"/>
    </row>
    <row r="31" customFormat="1" ht="18" customHeight="1" spans="1:15">
      <c r="A31" s="35"/>
      <c r="B31" s="11">
        <f t="shared" si="4"/>
        <v>0</v>
      </c>
      <c r="C31" s="45"/>
      <c r="D31" s="37"/>
      <c r="E31" s="43"/>
      <c r="F31" s="11">
        <f t="shared" si="5"/>
        <v>0</v>
      </c>
      <c r="G31" s="84"/>
      <c r="H31" s="22">
        <v>43851</v>
      </c>
      <c r="I31" s="11">
        <v>129560</v>
      </c>
      <c r="J31" s="59" t="s">
        <v>21</v>
      </c>
      <c r="K31" s="55" t="s">
        <v>41</v>
      </c>
      <c r="L31" s="33" t="s">
        <v>56</v>
      </c>
      <c r="M31" s="59"/>
      <c r="N31" s="59"/>
      <c r="O31" s="33"/>
    </row>
    <row r="32" customFormat="1" ht="18" customHeight="1" spans="1:15">
      <c r="A32" s="35"/>
      <c r="B32" s="11">
        <f t="shared" si="4"/>
        <v>0</v>
      </c>
      <c r="C32" s="45"/>
      <c r="D32" s="37"/>
      <c r="E32" s="43"/>
      <c r="F32" s="11">
        <f t="shared" si="5"/>
        <v>0</v>
      </c>
      <c r="G32" s="84"/>
      <c r="H32" s="22">
        <v>43851</v>
      </c>
      <c r="I32" s="11">
        <v>543434</v>
      </c>
      <c r="J32" s="59" t="s">
        <v>21</v>
      </c>
      <c r="K32" s="55" t="s">
        <v>41</v>
      </c>
      <c r="L32" s="33" t="s">
        <v>60</v>
      </c>
      <c r="M32" s="59"/>
      <c r="N32" s="59"/>
      <c r="O32" s="33"/>
    </row>
    <row r="33" customFormat="1" ht="18" customHeight="1" spans="1:15">
      <c r="A33" s="35"/>
      <c r="B33" s="11">
        <f t="shared" si="4"/>
        <v>0</v>
      </c>
      <c r="C33" s="45"/>
      <c r="D33" s="37"/>
      <c r="E33" s="43"/>
      <c r="F33" s="11">
        <f t="shared" si="5"/>
        <v>0</v>
      </c>
      <c r="G33" s="84"/>
      <c r="H33" s="22">
        <v>43851</v>
      </c>
      <c r="I33" s="11">
        <v>526041</v>
      </c>
      <c r="J33" s="59" t="s">
        <v>21</v>
      </c>
      <c r="K33" s="55" t="s">
        <v>4</v>
      </c>
      <c r="L33" s="33" t="s">
        <v>61</v>
      </c>
      <c r="M33" s="59"/>
      <c r="N33" s="59"/>
      <c r="O33" s="33"/>
    </row>
    <row r="34" customFormat="1" ht="18" customHeight="1" spans="1:15">
      <c r="A34" s="35"/>
      <c r="B34" s="11">
        <f t="shared" si="4"/>
        <v>0</v>
      </c>
      <c r="C34" s="45"/>
      <c r="D34" s="37"/>
      <c r="E34" s="43"/>
      <c r="F34" s="11">
        <f t="shared" si="5"/>
        <v>0</v>
      </c>
      <c r="G34" s="84"/>
      <c r="H34" s="22">
        <v>43851</v>
      </c>
      <c r="I34" s="11">
        <v>86930</v>
      </c>
      <c r="J34" s="59" t="s">
        <v>21</v>
      </c>
      <c r="K34" s="55" t="s">
        <v>4</v>
      </c>
      <c r="L34" s="33" t="s">
        <v>62</v>
      </c>
      <c r="M34" s="59"/>
      <c r="N34" s="59"/>
      <c r="O34" s="33"/>
    </row>
    <row r="35" customFormat="1" ht="18" customHeight="1" spans="1:15">
      <c r="A35" s="35"/>
      <c r="B35" s="11"/>
      <c r="C35" s="45"/>
      <c r="D35" s="37"/>
      <c r="E35" s="43"/>
      <c r="F35" s="11"/>
      <c r="G35" s="84"/>
      <c r="H35" s="22"/>
      <c r="I35" s="11"/>
      <c r="J35" s="59"/>
      <c r="K35" s="55"/>
      <c r="L35" s="33"/>
      <c r="M35" s="59"/>
      <c r="N35" s="59"/>
      <c r="O35" s="33"/>
    </row>
    <row r="36" customFormat="1" ht="18" customHeight="1" spans="1:15">
      <c r="A36" s="35"/>
      <c r="B36" s="11"/>
      <c r="C36" s="45"/>
      <c r="D36" s="37"/>
      <c r="E36" s="43"/>
      <c r="F36" s="11"/>
      <c r="G36" s="84"/>
      <c r="H36" s="22"/>
      <c r="I36" s="11"/>
      <c r="J36" s="59"/>
      <c r="K36" s="55"/>
      <c r="L36" s="33"/>
      <c r="M36" s="59"/>
      <c r="N36" s="59"/>
      <c r="O36" s="33"/>
    </row>
    <row r="37" customFormat="1" ht="18" customHeight="1" spans="1:15">
      <c r="A37" s="35"/>
      <c r="B37" s="11">
        <f t="shared" ref="B37:B54" si="6">ROUND(G37/(1+E37),2)</f>
        <v>0</v>
      </c>
      <c r="C37" s="45"/>
      <c r="D37" s="37"/>
      <c r="E37" s="43"/>
      <c r="F37" s="11">
        <f t="shared" ref="F37:F54" si="7">ROUND(G37/(1+E37)*E37,2)</f>
        <v>0</v>
      </c>
      <c r="G37" s="84"/>
      <c r="H37" s="22"/>
      <c r="I37" s="11"/>
      <c r="J37" s="59"/>
      <c r="K37" s="55"/>
      <c r="L37" s="33"/>
      <c r="M37" s="59"/>
      <c r="N37" s="59"/>
      <c r="O37" s="33"/>
    </row>
    <row r="38" customFormat="1" ht="18" customHeight="1" spans="1:15">
      <c r="A38" s="35"/>
      <c r="B38" s="11">
        <f t="shared" si="6"/>
        <v>0</v>
      </c>
      <c r="C38" s="45"/>
      <c r="D38" s="37"/>
      <c r="E38" s="43"/>
      <c r="F38" s="11">
        <f t="shared" si="7"/>
        <v>0</v>
      </c>
      <c r="G38" s="84"/>
      <c r="H38" s="22"/>
      <c r="I38" s="11"/>
      <c r="J38" s="59"/>
      <c r="K38" s="55"/>
      <c r="L38" s="33"/>
      <c r="M38" s="59"/>
      <c r="N38" s="59"/>
      <c r="O38" s="33"/>
    </row>
    <row r="39" customFormat="1" ht="18" customHeight="1" spans="1:15">
      <c r="A39" s="35"/>
      <c r="B39" s="11">
        <f t="shared" si="6"/>
        <v>0</v>
      </c>
      <c r="C39" s="45"/>
      <c r="D39" s="37"/>
      <c r="E39" s="43"/>
      <c r="F39" s="11">
        <f t="shared" si="7"/>
        <v>0</v>
      </c>
      <c r="G39" s="84"/>
      <c r="H39" s="22"/>
      <c r="I39" s="11"/>
      <c r="J39" s="59"/>
      <c r="K39" s="55"/>
      <c r="L39" s="33"/>
      <c r="M39" s="59"/>
      <c r="N39" s="59"/>
      <c r="O39" s="33"/>
    </row>
    <row r="40" customFormat="1" ht="18" customHeight="1" spans="1:15">
      <c r="A40" s="35"/>
      <c r="B40" s="11">
        <f t="shared" si="6"/>
        <v>0</v>
      </c>
      <c r="C40" s="45"/>
      <c r="D40" s="37"/>
      <c r="E40" s="43"/>
      <c r="F40" s="11">
        <f t="shared" si="7"/>
        <v>0</v>
      </c>
      <c r="G40" s="84"/>
      <c r="H40" s="22"/>
      <c r="I40" s="11"/>
      <c r="J40" s="59"/>
      <c r="K40" s="55"/>
      <c r="L40" s="33"/>
      <c r="M40" s="59"/>
      <c r="N40" s="59"/>
      <c r="O40" s="33"/>
    </row>
    <row r="41" customFormat="1" ht="18" customHeight="1" spans="1:15">
      <c r="A41" s="35"/>
      <c r="B41" s="11">
        <f t="shared" si="6"/>
        <v>0</v>
      </c>
      <c r="C41" s="45"/>
      <c r="D41" s="37"/>
      <c r="E41" s="43"/>
      <c r="F41" s="11">
        <f t="shared" si="7"/>
        <v>0</v>
      </c>
      <c r="G41" s="84"/>
      <c r="H41" s="22">
        <v>43851</v>
      </c>
      <c r="I41" s="11">
        <v>-64533.02</v>
      </c>
      <c r="J41" s="59" t="s">
        <v>63</v>
      </c>
      <c r="K41" s="55"/>
      <c r="L41" s="33"/>
      <c r="M41" s="59"/>
      <c r="N41" s="59"/>
      <c r="O41" s="33"/>
    </row>
    <row r="42" customFormat="1" ht="18" customHeight="1" spans="1:15">
      <c r="A42" s="35"/>
      <c r="B42" s="11">
        <f t="shared" si="6"/>
        <v>31720.02</v>
      </c>
      <c r="C42" s="45"/>
      <c r="D42" s="37"/>
      <c r="E42" s="43"/>
      <c r="F42" s="11">
        <f t="shared" si="7"/>
        <v>0</v>
      </c>
      <c r="G42" s="84">
        <v>31720.02</v>
      </c>
      <c r="H42" s="22" t="s">
        <v>64</v>
      </c>
      <c r="I42" s="11">
        <v>31720.02</v>
      </c>
      <c r="J42" s="59" t="s">
        <v>65</v>
      </c>
      <c r="K42" s="55" t="s">
        <v>66</v>
      </c>
      <c r="L42" s="33"/>
      <c r="M42" s="59"/>
      <c r="N42" s="59"/>
      <c r="O42" s="33"/>
    </row>
    <row r="43" customFormat="1" ht="18" customHeight="1" spans="1:15">
      <c r="A43" s="35"/>
      <c r="B43" s="11">
        <f t="shared" si="6"/>
        <v>0</v>
      </c>
      <c r="C43" s="36"/>
      <c r="D43" s="37"/>
      <c r="E43" s="43"/>
      <c r="F43" s="11">
        <f t="shared" si="7"/>
        <v>0</v>
      </c>
      <c r="G43" s="84"/>
      <c r="H43" s="22" t="s">
        <v>64</v>
      </c>
      <c r="I43" s="11">
        <v>31721</v>
      </c>
      <c r="J43" s="59" t="s">
        <v>65</v>
      </c>
      <c r="K43" s="66" t="s">
        <v>67</v>
      </c>
      <c r="L43" s="33"/>
      <c r="M43" s="59"/>
      <c r="N43" s="59"/>
      <c r="O43" s="33"/>
    </row>
    <row r="44" s="1" customFormat="1" ht="18" customHeight="1" spans="1:15">
      <c r="A44" s="42"/>
      <c r="B44" s="11">
        <f t="shared" si="6"/>
        <v>0</v>
      </c>
      <c r="C44" s="40"/>
      <c r="D44" s="44"/>
      <c r="E44" s="41"/>
      <c r="F44" s="11">
        <f t="shared" si="7"/>
        <v>0</v>
      </c>
      <c r="G44" s="76"/>
      <c r="H44" s="22" t="s">
        <v>64</v>
      </c>
      <c r="I44" s="11">
        <v>1092</v>
      </c>
      <c r="J44" s="59" t="s">
        <v>65</v>
      </c>
      <c r="K44" s="66" t="s">
        <v>68</v>
      </c>
      <c r="L44" s="67"/>
      <c r="M44" s="65"/>
      <c r="N44" s="65"/>
      <c r="O44" s="67"/>
    </row>
    <row r="45" s="1" customFormat="1" ht="18" customHeight="1" spans="1:15">
      <c r="A45" s="42"/>
      <c r="B45" s="11">
        <f t="shared" si="6"/>
        <v>0</v>
      </c>
      <c r="C45" s="40"/>
      <c r="D45" s="44"/>
      <c r="E45" s="41"/>
      <c r="F45" s="11">
        <f t="shared" si="7"/>
        <v>0</v>
      </c>
      <c r="G45" s="76"/>
      <c r="H45" s="22" t="s">
        <v>69</v>
      </c>
      <c r="I45" s="11">
        <v>-39806.14</v>
      </c>
      <c r="J45" s="59" t="s">
        <v>70</v>
      </c>
      <c r="K45" s="66" t="s">
        <v>71</v>
      </c>
      <c r="L45" s="70" t="s">
        <v>72</v>
      </c>
      <c r="M45" s="65"/>
      <c r="N45" s="65"/>
      <c r="O45" s="67"/>
    </row>
    <row r="46" s="1" customFormat="1" ht="18" customHeight="1" spans="1:15">
      <c r="A46" s="42"/>
      <c r="B46" s="85">
        <f t="shared" si="6"/>
        <v>0</v>
      </c>
      <c r="C46" s="40"/>
      <c r="D46" s="44"/>
      <c r="E46" s="41"/>
      <c r="F46" s="85">
        <f t="shared" si="7"/>
        <v>0</v>
      </c>
      <c r="G46" s="76"/>
      <c r="H46" s="22" t="s">
        <v>69</v>
      </c>
      <c r="I46" s="11">
        <v>18710</v>
      </c>
      <c r="J46" s="59" t="s">
        <v>65</v>
      </c>
      <c r="K46" s="66" t="s">
        <v>67</v>
      </c>
      <c r="L46" s="67"/>
      <c r="M46" s="65"/>
      <c r="N46" s="65"/>
      <c r="O46" s="67"/>
    </row>
    <row r="47" s="1" customFormat="1" ht="18" customHeight="1" spans="1:15">
      <c r="A47" s="42"/>
      <c r="B47" s="85">
        <f t="shared" si="6"/>
        <v>0</v>
      </c>
      <c r="C47" s="40"/>
      <c r="D47" s="44"/>
      <c r="E47" s="41"/>
      <c r="F47" s="85">
        <f t="shared" si="7"/>
        <v>0</v>
      </c>
      <c r="G47" s="76"/>
      <c r="H47" s="22" t="s">
        <v>69</v>
      </c>
      <c r="I47" s="11">
        <v>702</v>
      </c>
      <c r="J47" s="59" t="s">
        <v>65</v>
      </c>
      <c r="K47" s="66" t="s">
        <v>68</v>
      </c>
      <c r="L47" s="67"/>
      <c r="M47" s="65"/>
      <c r="N47" s="65"/>
      <c r="O47" s="67"/>
    </row>
    <row r="48" s="1" customFormat="1" ht="18" customHeight="1" spans="1:15">
      <c r="A48" s="42"/>
      <c r="B48" s="85">
        <f t="shared" si="6"/>
        <v>20394.14</v>
      </c>
      <c r="C48" s="40"/>
      <c r="D48" s="44"/>
      <c r="E48" s="41"/>
      <c r="F48" s="85">
        <f t="shared" si="7"/>
        <v>0</v>
      </c>
      <c r="G48" s="76">
        <v>20394.14</v>
      </c>
      <c r="H48" s="22" t="s">
        <v>69</v>
      </c>
      <c r="I48" s="11">
        <f>G48</f>
        <v>20394.14</v>
      </c>
      <c r="J48" s="59" t="s">
        <v>65</v>
      </c>
      <c r="K48" s="66" t="s">
        <v>66</v>
      </c>
      <c r="L48" s="67"/>
      <c r="M48" s="65"/>
      <c r="N48" s="65"/>
      <c r="O48" s="67"/>
    </row>
    <row r="49" s="1" customFormat="1" ht="18" customHeight="1" spans="1:15">
      <c r="A49" s="42"/>
      <c r="B49" s="85">
        <f t="shared" si="6"/>
        <v>0</v>
      </c>
      <c r="C49" s="40"/>
      <c r="D49" s="44"/>
      <c r="E49" s="41"/>
      <c r="F49" s="85">
        <f t="shared" si="7"/>
        <v>0</v>
      </c>
      <c r="G49" s="76"/>
      <c r="H49" s="22"/>
      <c r="I49" s="11">
        <v>500</v>
      </c>
      <c r="J49" s="59" t="s">
        <v>65</v>
      </c>
      <c r="K49" s="66" t="s">
        <v>73</v>
      </c>
      <c r="L49" s="67"/>
      <c r="M49" s="65"/>
      <c r="N49" s="65"/>
      <c r="O49" s="67"/>
    </row>
    <row r="50" s="1" customFormat="1" ht="18" customHeight="1" spans="1:15">
      <c r="A50" s="42"/>
      <c r="B50" s="85">
        <f t="shared" si="6"/>
        <v>0</v>
      </c>
      <c r="C50" s="40"/>
      <c r="D50" s="44"/>
      <c r="E50" s="41"/>
      <c r="F50" s="85">
        <f t="shared" si="7"/>
        <v>0</v>
      </c>
      <c r="G50" s="76"/>
      <c r="H50" s="22"/>
      <c r="I50" s="11">
        <v>-37462</v>
      </c>
      <c r="J50" s="59" t="s">
        <v>70</v>
      </c>
      <c r="K50" s="66" t="s">
        <v>4</v>
      </c>
      <c r="L50" s="67"/>
      <c r="M50" s="65"/>
      <c r="N50" s="65"/>
      <c r="O50" s="67"/>
    </row>
    <row r="51" s="1" customFormat="1" ht="18" customHeight="1" spans="1:15">
      <c r="A51" s="42"/>
      <c r="B51" s="85">
        <f t="shared" si="6"/>
        <v>0</v>
      </c>
      <c r="C51" s="40"/>
      <c r="D51" s="44"/>
      <c r="E51" s="41"/>
      <c r="F51" s="85">
        <f t="shared" si="7"/>
        <v>0</v>
      </c>
      <c r="G51" s="76"/>
      <c r="H51" s="22"/>
      <c r="I51" s="11">
        <v>-38709</v>
      </c>
      <c r="J51" s="59" t="s">
        <v>70</v>
      </c>
      <c r="K51" s="66" t="s">
        <v>4</v>
      </c>
      <c r="L51" s="67"/>
      <c r="M51" s="65"/>
      <c r="N51" s="65"/>
      <c r="O51" s="67"/>
    </row>
    <row r="52" s="1" customFormat="1" ht="18" customHeight="1" spans="1:18">
      <c r="A52" s="42"/>
      <c r="B52" s="85">
        <f t="shared" si="6"/>
        <v>0</v>
      </c>
      <c r="C52" s="40"/>
      <c r="D52" s="44"/>
      <c r="E52" s="41"/>
      <c r="F52" s="85">
        <f t="shared" si="7"/>
        <v>0</v>
      </c>
      <c r="G52" s="76"/>
      <c r="H52" s="22"/>
      <c r="I52" s="11">
        <v>35626</v>
      </c>
      <c r="J52" s="59" t="s">
        <v>65</v>
      </c>
      <c r="K52" s="66" t="s">
        <v>67</v>
      </c>
      <c r="L52" s="67"/>
      <c r="M52" s="65"/>
      <c r="N52" s="65"/>
      <c r="O52" s="67"/>
      <c r="R52" s="1" t="s">
        <v>74</v>
      </c>
    </row>
    <row r="53" s="1" customFormat="1" ht="18" customHeight="1" spans="1:15">
      <c r="A53" s="42"/>
      <c r="B53" s="85">
        <f t="shared" si="6"/>
        <v>0</v>
      </c>
      <c r="C53" s="40"/>
      <c r="D53" s="44"/>
      <c r="E53" s="41"/>
      <c r="F53" s="85">
        <f t="shared" si="7"/>
        <v>0</v>
      </c>
      <c r="G53" s="76"/>
      <c r="H53" s="22"/>
      <c r="I53" s="11">
        <v>1336</v>
      </c>
      <c r="J53" s="59" t="s">
        <v>65</v>
      </c>
      <c r="K53" s="66" t="s">
        <v>68</v>
      </c>
      <c r="L53" s="67"/>
      <c r="M53" s="65"/>
      <c r="N53" s="65"/>
      <c r="O53" s="67"/>
    </row>
    <row r="54" s="1" customFormat="1" ht="18" customHeight="1" spans="1:15">
      <c r="A54" s="42"/>
      <c r="B54" s="85">
        <f t="shared" si="6"/>
        <v>38709</v>
      </c>
      <c r="C54" s="40"/>
      <c r="D54" s="44"/>
      <c r="E54" s="41"/>
      <c r="F54" s="85">
        <f t="shared" si="7"/>
        <v>0</v>
      </c>
      <c r="G54" s="76">
        <f>38709</f>
        <v>38709</v>
      </c>
      <c r="H54" s="22"/>
      <c r="I54" s="11">
        <f>G54</f>
        <v>38709</v>
      </c>
      <c r="J54" s="59" t="s">
        <v>65</v>
      </c>
      <c r="K54" s="66" t="s">
        <v>66</v>
      </c>
      <c r="L54" s="67"/>
      <c r="M54" s="65"/>
      <c r="N54" s="65"/>
      <c r="O54" s="67"/>
    </row>
    <row r="55" ht="18" customHeight="1" spans="1:15">
      <c r="A55" s="30" t="s">
        <v>24</v>
      </c>
      <c r="B55" s="82">
        <f>SUM(B14:B54)</f>
        <v>5224278.81</v>
      </c>
      <c r="C55" s="30"/>
      <c r="D55" s="46"/>
      <c r="E55" s="46"/>
      <c r="F55" s="83">
        <f>SUM(F14:F54)</f>
        <v>414922.68</v>
      </c>
      <c r="G55" s="86">
        <f>SUM(G14:G54)</f>
        <v>5639201.49</v>
      </c>
      <c r="H55" s="48"/>
      <c r="I55" s="30">
        <f>SUM(I14:I54)</f>
        <v>4516112</v>
      </c>
      <c r="J55" s="71"/>
      <c r="K55" s="46"/>
      <c r="L55" s="33"/>
      <c r="M55" s="59"/>
      <c r="N55" s="59"/>
      <c r="O55" s="33"/>
    </row>
    <row r="56" ht="18" customHeight="1" spans="1:14">
      <c r="A56" s="49" t="s">
        <v>75</v>
      </c>
      <c r="B56" s="49">
        <f>B11*0.936</f>
        <v>5349287.91633028</v>
      </c>
      <c r="C56" s="49"/>
      <c r="D56" s="51"/>
      <c r="E56" s="51"/>
      <c r="F56" s="50"/>
      <c r="G56" s="49">
        <f>G11-G55</f>
        <v>612470.510000001</v>
      </c>
      <c r="H56" s="21" t="s">
        <v>76</v>
      </c>
      <c r="I56" s="30">
        <f>I11-I55</f>
        <v>0</v>
      </c>
      <c r="J56" s="6"/>
      <c r="K56" s="72"/>
      <c r="M56" s="73"/>
      <c r="N56" s="73"/>
    </row>
    <row r="57" ht="18" customHeight="1" spans="1:14">
      <c r="A57" s="49" t="s">
        <v>77</v>
      </c>
      <c r="B57" s="49">
        <f>B56-B55</f>
        <v>125009.106330276</v>
      </c>
      <c r="C57" s="49"/>
      <c r="D57" s="51"/>
      <c r="E57" s="51"/>
      <c r="F57" s="50"/>
      <c r="G57" s="50"/>
      <c r="H57" s="52"/>
      <c r="I57" s="50"/>
      <c r="J57" s="6"/>
      <c r="K57" s="72"/>
      <c r="M57" s="73"/>
      <c r="N57" s="73"/>
    </row>
    <row r="58" ht="18" customHeight="1" spans="1:10">
      <c r="A58" s="2" t="s">
        <v>78</v>
      </c>
      <c r="C58" s="2"/>
      <c r="J58" s="4"/>
    </row>
    <row r="59" ht="18" customHeight="1" spans="1:10">
      <c r="A59" s="21" t="s">
        <v>79</v>
      </c>
      <c r="B59" s="20" t="s">
        <v>80</v>
      </c>
      <c r="C59" s="33"/>
      <c r="D59" s="21" t="s">
        <v>79</v>
      </c>
      <c r="E59" s="19" t="s">
        <v>16</v>
      </c>
      <c r="F59" s="20" t="s">
        <v>80</v>
      </c>
      <c r="G59" s="20" t="s">
        <v>81</v>
      </c>
      <c r="H59" s="20" t="s">
        <v>82</v>
      </c>
      <c r="I59" s="20" t="s">
        <v>83</v>
      </c>
      <c r="J59" s="11" t="s">
        <v>84</v>
      </c>
    </row>
    <row r="60" ht="18" customHeight="1" spans="1:21">
      <c r="A60" s="33" t="s">
        <v>85</v>
      </c>
      <c r="B60" s="17">
        <f>(B56-B55)*0.25</f>
        <v>31252.2765825691</v>
      </c>
      <c r="C60" s="33"/>
      <c r="D60" s="28" t="s">
        <v>86</v>
      </c>
      <c r="E60" s="21" t="s">
        <v>87</v>
      </c>
      <c r="F60" s="32">
        <f>F11-F55</f>
        <v>7397.10348623851</v>
      </c>
      <c r="G60" s="32">
        <v>0</v>
      </c>
      <c r="H60" s="32">
        <v>0</v>
      </c>
      <c r="I60" s="32">
        <v>0</v>
      </c>
      <c r="J60" s="83">
        <f>F11-F55</f>
        <v>7397.10348623851</v>
      </c>
      <c r="S60" s="23">
        <v>35626</v>
      </c>
      <c r="T60" s="59" t="s">
        <v>65</v>
      </c>
      <c r="U60" s="66" t="s">
        <v>67</v>
      </c>
    </row>
    <row r="61" ht="18" customHeight="1" spans="1:21">
      <c r="A61" s="33" t="s">
        <v>88</v>
      </c>
      <c r="B61" s="53" t="s">
        <v>89</v>
      </c>
      <c r="C61" s="33"/>
      <c r="D61" s="54" t="s">
        <v>90</v>
      </c>
      <c r="E61" s="13">
        <v>0.05</v>
      </c>
      <c r="F61" s="23">
        <f>F60*E61</f>
        <v>369.855174311926</v>
      </c>
      <c r="G61" s="23">
        <v>0</v>
      </c>
      <c r="H61" s="23">
        <v>0</v>
      </c>
      <c r="I61" s="23">
        <v>0</v>
      </c>
      <c r="J61" s="11">
        <f>J60*0.07</f>
        <v>517.797244036696</v>
      </c>
      <c r="S61" s="23">
        <v>1336</v>
      </c>
      <c r="T61" s="59" t="s">
        <v>65</v>
      </c>
      <c r="U61" s="66" t="s">
        <v>68</v>
      </c>
    </row>
    <row r="62" ht="18" customHeight="1" spans="1:19">
      <c r="A62" s="33" t="s">
        <v>68</v>
      </c>
      <c r="B62" s="53"/>
      <c r="C62" s="33"/>
      <c r="D62" s="54" t="s">
        <v>91</v>
      </c>
      <c r="E62" s="13">
        <v>0.03</v>
      </c>
      <c r="F62" s="23">
        <f>F60*E62</f>
        <v>221.913104587155</v>
      </c>
      <c r="G62" s="23">
        <v>0</v>
      </c>
      <c r="H62" s="23">
        <v>0</v>
      </c>
      <c r="I62" s="23">
        <v>0</v>
      </c>
      <c r="J62" s="11">
        <f>J60*E62</f>
        <v>221.913104587155</v>
      </c>
      <c r="S62" s="50">
        <f>S60+S61</f>
        <v>36962</v>
      </c>
    </row>
    <row r="63" ht="18" customHeight="1" spans="1:10">
      <c r="A63" s="33"/>
      <c r="B63" s="23"/>
      <c r="C63" s="33"/>
      <c r="D63" s="54" t="s">
        <v>92</v>
      </c>
      <c r="E63" s="13">
        <v>0.02</v>
      </c>
      <c r="F63" s="23">
        <f>F60*E63</f>
        <v>147.94206972477</v>
      </c>
      <c r="G63" s="23">
        <v>0</v>
      </c>
      <c r="H63" s="23">
        <v>0</v>
      </c>
      <c r="I63" s="23">
        <v>0</v>
      </c>
      <c r="J63" s="11">
        <f>J60*E63</f>
        <v>147.94206972477</v>
      </c>
    </row>
    <row r="64" ht="18" customHeight="1" spans="1:10">
      <c r="A64" s="28" t="s">
        <v>93</v>
      </c>
      <c r="B64" s="29">
        <f>SUM(B60:B63)</f>
        <v>31252.2765825691</v>
      </c>
      <c r="C64" s="33"/>
      <c r="D64" s="34" t="s">
        <v>93</v>
      </c>
      <c r="E64" s="28"/>
      <c r="F64" s="32">
        <f>SUM(F60:F63)</f>
        <v>8136.81383486237</v>
      </c>
      <c r="G64" s="32">
        <v>0</v>
      </c>
      <c r="H64" s="32">
        <v>0</v>
      </c>
      <c r="I64" s="32">
        <v>0</v>
      </c>
      <c r="J64" s="83">
        <f>SUM(J60:J63)</f>
        <v>8284.75590458713</v>
      </c>
    </row>
    <row r="65" ht="18" customHeight="1" spans="3:10">
      <c r="C65" s="2"/>
      <c r="D65" s="11" t="s">
        <v>68</v>
      </c>
      <c r="E65" s="55">
        <v>0.0006</v>
      </c>
      <c r="F65" s="23">
        <f>B11*E65</f>
        <v>3429.03071559633</v>
      </c>
      <c r="G65" s="23">
        <f>B7*E65</f>
        <v>1335.972</v>
      </c>
      <c r="H65" s="23">
        <f>B8*E65</f>
        <v>701.608073394495</v>
      </c>
      <c r="I65" s="23">
        <f>B9*E65</f>
        <v>1091.28495412844</v>
      </c>
      <c r="J65" s="11"/>
    </row>
    <row r="66" ht="18" customHeight="1" spans="3:10">
      <c r="C66" s="2"/>
      <c r="D66" s="19" t="s">
        <v>93</v>
      </c>
      <c r="E66" s="46"/>
      <c r="F66" s="31">
        <f t="shared" ref="F66:I66" si="8">F65</f>
        <v>3429.03071559633</v>
      </c>
      <c r="G66" s="31">
        <f t="shared" si="8"/>
        <v>1335.972</v>
      </c>
      <c r="H66" s="31">
        <f t="shared" si="8"/>
        <v>701.608073394495</v>
      </c>
      <c r="I66" s="31">
        <f t="shared" si="8"/>
        <v>1091.28495412844</v>
      </c>
      <c r="J66" s="11"/>
    </row>
    <row r="67" ht="18" customHeight="1" spans="3:10">
      <c r="C67" s="2"/>
      <c r="D67" s="19" t="s">
        <v>24</v>
      </c>
      <c r="E67" s="30"/>
      <c r="F67" s="31">
        <f t="shared" ref="F67:H67" si="9">F64+F66</f>
        <v>11565.8445504587</v>
      </c>
      <c r="G67" s="31">
        <f t="shared" si="9"/>
        <v>1335.972</v>
      </c>
      <c r="H67" s="31">
        <f t="shared" si="9"/>
        <v>701.608073394495</v>
      </c>
      <c r="I67" s="31"/>
      <c r="J67" s="11"/>
    </row>
    <row r="68" ht="18" customHeight="1" spans="3:10">
      <c r="C68" s="2"/>
      <c r="D68" s="30" t="s">
        <v>85</v>
      </c>
      <c r="E68" s="46">
        <v>0.016</v>
      </c>
      <c r="F68" s="31">
        <f>B11*E68</f>
        <v>91440.8190825688</v>
      </c>
      <c r="G68" s="31">
        <f>B7*E68</f>
        <v>35625.92</v>
      </c>
      <c r="H68" s="31">
        <f>B8*E68</f>
        <v>18709.5486238532</v>
      </c>
      <c r="I68" s="31">
        <f>G9*E68</f>
        <v>31720.016</v>
      </c>
      <c r="J68" s="11"/>
    </row>
    <row r="69" ht="18" customHeight="1" spans="3:3">
      <c r="C69" s="2"/>
    </row>
    <row r="70" ht="18" customHeight="1" spans="3:3">
      <c r="C70" s="2"/>
    </row>
    <row r="71" ht="18" customHeight="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  <row r="78" spans="3:3">
      <c r="C78" s="2"/>
    </row>
    <row r="79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  <row r="84" spans="3:3">
      <c r="C84" s="2"/>
    </row>
    <row r="85" spans="3:3">
      <c r="C85" s="2"/>
    </row>
    <row r="86" spans="3:3">
      <c r="C86" s="2"/>
    </row>
    <row r="87" spans="3:3">
      <c r="C87" s="2"/>
    </row>
  </sheetData>
  <protectedRanges>
    <protectedRange sqref="I21" name="区域1"/>
  </protectedRanges>
  <autoFilter ref="A13:U68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5"/>
  <sheetViews>
    <sheetView topLeftCell="A49" workbookViewId="0">
      <selection activeCell="M31" sqref="M31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12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94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43271</v>
      </c>
      <c r="C2" s="11" t="s">
        <v>2</v>
      </c>
      <c r="D2" s="12">
        <v>6530785</v>
      </c>
      <c r="E2" s="13" t="s">
        <v>3</v>
      </c>
      <c r="F2" s="14" t="s">
        <v>4</v>
      </c>
      <c r="G2" s="15" t="s">
        <v>5</v>
      </c>
      <c r="H2" s="16" t="s">
        <v>6</v>
      </c>
      <c r="I2" s="56"/>
      <c r="J2" s="57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8"/>
      <c r="J3" s="18"/>
      <c r="K3" s="18"/>
      <c r="L3" s="18"/>
    </row>
    <row r="4" ht="18" customHeight="1" spans="1:12">
      <c r="A4" s="2" t="s">
        <v>9</v>
      </c>
      <c r="H4" s="18"/>
      <c r="I4" s="58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43486</v>
      </c>
      <c r="B7" s="23">
        <f t="shared" ref="B7:B10" si="0">G7/(1+C7+E7)</f>
        <v>2226620</v>
      </c>
      <c r="C7" s="24">
        <v>0.02</v>
      </c>
      <c r="D7" s="25">
        <f t="shared" ref="D7:D10" si="1">G7/(1+E7+C7)*C7</f>
        <v>44532.4</v>
      </c>
      <c r="E7" s="24">
        <v>0.08</v>
      </c>
      <c r="F7" s="23">
        <f t="shared" ref="F7:F10" si="2">G7/(1+C7+E7)*E7</f>
        <v>178129.6</v>
      </c>
      <c r="G7" s="26">
        <v>2449282</v>
      </c>
      <c r="H7" s="22">
        <v>43494</v>
      </c>
      <c r="I7" s="23">
        <v>1623875</v>
      </c>
      <c r="J7" s="59" t="s">
        <v>21</v>
      </c>
    </row>
    <row r="8" ht="18" customHeight="1" spans="1:12">
      <c r="A8" s="22">
        <v>43725</v>
      </c>
      <c r="B8" s="23">
        <f t="shared" si="0"/>
        <v>1169346.78899083</v>
      </c>
      <c r="C8" s="24">
        <v>0.02</v>
      </c>
      <c r="D8" s="25">
        <f t="shared" si="1"/>
        <v>23386.9357798165</v>
      </c>
      <c r="E8" s="27">
        <v>0.07</v>
      </c>
      <c r="F8" s="23">
        <f t="shared" si="2"/>
        <v>81854.2752293578</v>
      </c>
      <c r="G8" s="26">
        <v>1274588</v>
      </c>
      <c r="H8" s="22">
        <v>43494</v>
      </c>
      <c r="I8" s="60">
        <v>286566</v>
      </c>
      <c r="J8" s="61" t="s">
        <v>22</v>
      </c>
      <c r="K8" s="62"/>
      <c r="L8" s="63" t="s">
        <v>23</v>
      </c>
    </row>
    <row r="9" ht="18" customHeight="1" spans="1:12">
      <c r="A9" s="22">
        <v>43845</v>
      </c>
      <c r="B9" s="23">
        <f t="shared" si="0"/>
        <v>1818808.25688073</v>
      </c>
      <c r="C9" s="24">
        <v>0.02</v>
      </c>
      <c r="D9" s="25">
        <f t="shared" si="1"/>
        <v>36376.1651376147</v>
      </c>
      <c r="E9" s="24">
        <v>0.07</v>
      </c>
      <c r="F9" s="23">
        <f t="shared" si="2"/>
        <v>127316.577981651</v>
      </c>
      <c r="G9" s="26">
        <v>1982501</v>
      </c>
      <c r="H9" s="22">
        <v>43737</v>
      </c>
      <c r="I9" s="23">
        <v>1019670</v>
      </c>
      <c r="J9" s="59" t="s">
        <v>21</v>
      </c>
      <c r="L9" s="6">
        <f>G9*0.02</f>
        <v>39650.02</v>
      </c>
    </row>
    <row r="10" ht="18" customHeight="1" spans="1:10">
      <c r="A10" s="22"/>
      <c r="B10" s="23">
        <f t="shared" si="0"/>
        <v>0</v>
      </c>
      <c r="C10" s="24">
        <v>0.02</v>
      </c>
      <c r="D10" s="25">
        <f t="shared" si="1"/>
        <v>0</v>
      </c>
      <c r="E10" s="24">
        <v>0.08</v>
      </c>
      <c r="F10" s="23">
        <f t="shared" si="2"/>
        <v>0</v>
      </c>
      <c r="G10" s="26"/>
      <c r="H10" s="22">
        <v>43847</v>
      </c>
      <c r="I10" s="23">
        <v>1586001</v>
      </c>
      <c r="J10" s="59" t="s">
        <v>21</v>
      </c>
    </row>
    <row r="11" ht="18" customHeight="1" spans="1:10">
      <c r="A11" s="28" t="s">
        <v>24</v>
      </c>
      <c r="B11" s="29">
        <f t="shared" ref="B11:G11" si="3">SUM(B7:B10)</f>
        <v>5214775.04587156</v>
      </c>
      <c r="C11" s="30"/>
      <c r="D11" s="31">
        <f t="shared" si="3"/>
        <v>104295.500917431</v>
      </c>
      <c r="E11" s="30"/>
      <c r="F11" s="32">
        <f t="shared" si="3"/>
        <v>387300.453211009</v>
      </c>
      <c r="G11" s="31">
        <f t="shared" si="3"/>
        <v>5706371</v>
      </c>
      <c r="H11" s="33"/>
      <c r="I11" s="31">
        <f>SUM(I7:I10)</f>
        <v>4516112</v>
      </c>
      <c r="J11" s="33"/>
    </row>
    <row r="12" ht="18" customHeight="1" spans="1:12">
      <c r="A12" s="2" t="s">
        <v>25</v>
      </c>
      <c r="J12" s="4"/>
      <c r="K12" s="4"/>
      <c r="L12" s="5"/>
    </row>
    <row r="13" ht="18" customHeight="1" spans="1:15">
      <c r="A13" s="34" t="s">
        <v>26</v>
      </c>
      <c r="B13" s="20" t="s">
        <v>27</v>
      </c>
      <c r="C13" s="19" t="s">
        <v>28</v>
      </c>
      <c r="D13" s="19" t="s">
        <v>29</v>
      </c>
      <c r="E13" s="19" t="s">
        <v>16</v>
      </c>
      <c r="F13" s="20" t="s">
        <v>30</v>
      </c>
      <c r="G13" s="20" t="s">
        <v>14</v>
      </c>
      <c r="H13" s="19" t="s">
        <v>31</v>
      </c>
      <c r="I13" s="20" t="s">
        <v>32</v>
      </c>
      <c r="J13" s="19" t="s">
        <v>20</v>
      </c>
      <c r="K13" s="64" t="s">
        <v>33</v>
      </c>
      <c r="L13" s="21" t="s">
        <v>34</v>
      </c>
      <c r="M13" s="21" t="s">
        <v>35</v>
      </c>
      <c r="N13" s="21" t="s">
        <v>36</v>
      </c>
      <c r="O13" s="21" t="s">
        <v>37</v>
      </c>
    </row>
    <row r="14" ht="18" customHeight="1" spans="1:15">
      <c r="A14" s="35">
        <v>43466</v>
      </c>
      <c r="B14" s="23">
        <f>ROUND(G14/(1+E14),2)</f>
        <v>1121074.35</v>
      </c>
      <c r="C14" s="36"/>
      <c r="D14" s="37" t="s">
        <v>38</v>
      </c>
      <c r="E14" s="38">
        <v>0.16</v>
      </c>
      <c r="F14" s="23">
        <f t="shared" ref="F14:F30" si="4">ROUND(G14/(1+E14)*E14,2)</f>
        <v>179371.9</v>
      </c>
      <c r="G14" s="39">
        <f>815848.5+484597.75</f>
        <v>1300446.25</v>
      </c>
      <c r="H14" s="22">
        <v>43496</v>
      </c>
      <c r="I14" s="23">
        <v>1000000</v>
      </c>
      <c r="J14" s="59" t="s">
        <v>21</v>
      </c>
      <c r="K14" s="55" t="s">
        <v>39</v>
      </c>
      <c r="L14" s="33" t="s">
        <v>40</v>
      </c>
      <c r="M14" s="59"/>
      <c r="N14" s="59"/>
      <c r="O14" s="33"/>
    </row>
    <row r="15" ht="18" customHeight="1" spans="1:15">
      <c r="A15" s="35">
        <v>43466</v>
      </c>
      <c r="B15" s="23">
        <f t="shared" ref="B15:B29" si="5">ROUND(G15/(1+E15),2)</f>
        <v>116504.85</v>
      </c>
      <c r="C15" s="36"/>
      <c r="D15" s="37" t="s">
        <v>38</v>
      </c>
      <c r="E15" s="38">
        <v>0.03</v>
      </c>
      <c r="F15" s="23">
        <f t="shared" si="4"/>
        <v>3495.15</v>
      </c>
      <c r="G15" s="39">
        <f>60000*2</f>
        <v>120000</v>
      </c>
      <c r="H15" s="22">
        <v>43496</v>
      </c>
      <c r="I15" s="23">
        <f>910441-286566</f>
        <v>623875</v>
      </c>
      <c r="J15" s="59" t="s">
        <v>21</v>
      </c>
      <c r="K15" s="55" t="s">
        <v>41</v>
      </c>
      <c r="L15" s="33" t="s">
        <v>42</v>
      </c>
      <c r="M15" s="59"/>
      <c r="N15" s="59"/>
      <c r="O15" s="33"/>
    </row>
    <row r="16" ht="18" customHeight="1" spans="1:15">
      <c r="A16" s="35">
        <v>43466</v>
      </c>
      <c r="B16" s="23">
        <f t="shared" si="5"/>
        <v>600000</v>
      </c>
      <c r="C16" s="36"/>
      <c r="D16" s="37" t="s">
        <v>43</v>
      </c>
      <c r="E16" s="38"/>
      <c r="F16" s="23">
        <f t="shared" si="4"/>
        <v>0</v>
      </c>
      <c r="G16" s="39">
        <f>100000*6</f>
        <v>600000</v>
      </c>
      <c r="H16" s="22"/>
      <c r="I16" s="31">
        <v>286566</v>
      </c>
      <c r="J16" s="21" t="s">
        <v>44</v>
      </c>
      <c r="K16" s="55" t="s">
        <v>41</v>
      </c>
      <c r="L16" s="33" t="s">
        <v>42</v>
      </c>
      <c r="M16" s="59"/>
      <c r="N16" s="59"/>
      <c r="O16" s="33"/>
    </row>
    <row r="17" s="1" customFormat="1" ht="18" customHeight="1" spans="1:15">
      <c r="A17" s="35">
        <v>43466</v>
      </c>
      <c r="B17" s="23">
        <f t="shared" si="5"/>
        <v>379760</v>
      </c>
      <c r="C17" s="40"/>
      <c r="D17" s="37" t="s">
        <v>43</v>
      </c>
      <c r="E17" s="41"/>
      <c r="F17" s="23">
        <f t="shared" si="4"/>
        <v>0</v>
      </c>
      <c r="G17" s="26">
        <f>79760+100000*3</f>
        <v>379760</v>
      </c>
      <c r="H17" s="22"/>
      <c r="I17" s="23"/>
      <c r="J17" s="59"/>
      <c r="K17" s="55" t="s">
        <v>41</v>
      </c>
      <c r="L17" s="33" t="s">
        <v>45</v>
      </c>
      <c r="M17" s="65"/>
      <c r="N17" s="65"/>
      <c r="O17" s="33"/>
    </row>
    <row r="18" s="1" customFormat="1" ht="18" customHeight="1" spans="1:15">
      <c r="A18" s="35"/>
      <c r="B18" s="17">
        <f t="shared" si="5"/>
        <v>0</v>
      </c>
      <c r="C18" s="40"/>
      <c r="D18" s="37"/>
      <c r="E18" s="41"/>
      <c r="F18" s="17">
        <f t="shared" si="4"/>
        <v>0</v>
      </c>
      <c r="G18" s="26"/>
      <c r="H18" s="22">
        <v>43551</v>
      </c>
      <c r="I18" s="23">
        <v>-400000</v>
      </c>
      <c r="J18" s="59" t="s">
        <v>21</v>
      </c>
      <c r="K18" s="66" t="s">
        <v>4</v>
      </c>
      <c r="L18" s="67"/>
      <c r="M18" s="65"/>
      <c r="N18" s="65"/>
      <c r="O18" s="67"/>
    </row>
    <row r="19" ht="18" customHeight="1" spans="1:15">
      <c r="A19" s="42"/>
      <c r="B19" s="17">
        <f t="shared" si="5"/>
        <v>0</v>
      </c>
      <c r="C19" s="36"/>
      <c r="D19" s="37"/>
      <c r="E19" s="43"/>
      <c r="F19" s="17">
        <f t="shared" si="4"/>
        <v>0</v>
      </c>
      <c r="G19" s="39"/>
      <c r="H19" s="22">
        <v>43551</v>
      </c>
      <c r="I19" s="23">
        <v>400000</v>
      </c>
      <c r="J19" s="59" t="s">
        <v>21</v>
      </c>
      <c r="K19" s="55" t="s">
        <v>46</v>
      </c>
      <c r="L19" s="33" t="s">
        <v>47</v>
      </c>
      <c r="M19" s="59"/>
      <c r="N19" s="59"/>
      <c r="O19" s="33"/>
    </row>
    <row r="20" s="1" customFormat="1" ht="18" customHeight="1" spans="1:15">
      <c r="A20" s="42"/>
      <c r="B20" s="17">
        <f t="shared" si="5"/>
        <v>0</v>
      </c>
      <c r="C20" s="40"/>
      <c r="D20" s="44"/>
      <c r="E20" s="41"/>
      <c r="F20" s="17">
        <f t="shared" si="4"/>
        <v>0</v>
      </c>
      <c r="G20" s="26"/>
      <c r="H20" s="22">
        <v>43605</v>
      </c>
      <c r="I20" s="23">
        <v>-179862</v>
      </c>
      <c r="J20" s="59" t="s">
        <v>21</v>
      </c>
      <c r="K20" s="66" t="s">
        <v>4</v>
      </c>
      <c r="L20" s="67"/>
      <c r="M20" s="65"/>
      <c r="N20" s="65"/>
      <c r="O20" s="67"/>
    </row>
    <row r="21" s="1" customFormat="1" ht="18" customHeight="1" spans="1:15">
      <c r="A21" s="42">
        <v>43709</v>
      </c>
      <c r="B21" s="23">
        <f t="shared" si="5"/>
        <v>509218.58</v>
      </c>
      <c r="C21" s="36"/>
      <c r="D21" s="37" t="s">
        <v>38</v>
      </c>
      <c r="E21" s="43">
        <v>0.13</v>
      </c>
      <c r="F21" s="23">
        <f t="shared" si="4"/>
        <v>66198.42</v>
      </c>
      <c r="G21" s="39">
        <f>477947+97470</f>
        <v>575417</v>
      </c>
      <c r="H21" s="22">
        <v>43605</v>
      </c>
      <c r="I21" s="68">
        <v>179862</v>
      </c>
      <c r="J21" s="59" t="s">
        <v>21</v>
      </c>
      <c r="K21" s="55" t="s">
        <v>46</v>
      </c>
      <c r="L21" s="33" t="s">
        <v>47</v>
      </c>
      <c r="M21" s="65"/>
      <c r="N21" s="65"/>
      <c r="O21" s="67"/>
    </row>
    <row r="22" s="1" customFormat="1" ht="18" customHeight="1" spans="1:15">
      <c r="A22" s="42">
        <v>43709</v>
      </c>
      <c r="B22" s="23">
        <f t="shared" si="5"/>
        <v>84905.66</v>
      </c>
      <c r="C22" s="36"/>
      <c r="D22" s="37" t="s">
        <v>38</v>
      </c>
      <c r="E22" s="43">
        <v>0.06</v>
      </c>
      <c r="F22" s="23">
        <f t="shared" si="4"/>
        <v>5094.34</v>
      </c>
      <c r="G22" s="39">
        <v>90000</v>
      </c>
      <c r="H22" s="22">
        <v>43738</v>
      </c>
      <c r="I22" s="23">
        <v>90000</v>
      </c>
      <c r="J22" s="59" t="s">
        <v>21</v>
      </c>
      <c r="K22" s="66" t="s">
        <v>48</v>
      </c>
      <c r="L22" s="67" t="s">
        <v>49</v>
      </c>
      <c r="M22" s="65"/>
      <c r="N22" s="65"/>
      <c r="O22" s="67"/>
    </row>
    <row r="23" ht="18" customHeight="1" spans="1:15">
      <c r="A23" s="35">
        <v>43709</v>
      </c>
      <c r="B23" s="23">
        <f t="shared" si="5"/>
        <v>582524.27</v>
      </c>
      <c r="C23" s="36"/>
      <c r="D23" s="37" t="s">
        <v>38</v>
      </c>
      <c r="E23" s="43">
        <v>0.03</v>
      </c>
      <c r="F23" s="23">
        <f t="shared" si="4"/>
        <v>17475.73</v>
      </c>
      <c r="G23" s="39">
        <f>100000*6</f>
        <v>600000</v>
      </c>
      <c r="H23" s="22">
        <v>43738</v>
      </c>
      <c r="I23" s="23">
        <v>875885</v>
      </c>
      <c r="J23" s="59" t="s">
        <v>21</v>
      </c>
      <c r="K23" s="55" t="s">
        <v>41</v>
      </c>
      <c r="L23" s="33" t="s">
        <v>42</v>
      </c>
      <c r="M23" s="59"/>
      <c r="N23" s="59"/>
      <c r="O23" s="33"/>
    </row>
    <row r="24" customFormat="1" ht="18" customHeight="1" spans="1:15">
      <c r="A24" s="35"/>
      <c r="B24" s="23">
        <f t="shared" si="5"/>
        <v>0</v>
      </c>
      <c r="C24" s="36"/>
      <c r="D24" s="37"/>
      <c r="E24" s="43"/>
      <c r="F24" s="23">
        <f t="shared" si="4"/>
        <v>0</v>
      </c>
      <c r="G24" s="39"/>
      <c r="H24" s="22">
        <v>43738</v>
      </c>
      <c r="I24" s="23">
        <v>53821</v>
      </c>
      <c r="J24" s="59" t="s">
        <v>21</v>
      </c>
      <c r="K24" s="55" t="s">
        <v>4</v>
      </c>
      <c r="L24" s="33" t="s">
        <v>50</v>
      </c>
      <c r="M24" s="59"/>
      <c r="N24" s="59"/>
      <c r="O24" s="33"/>
    </row>
    <row r="25" customFormat="1" ht="18" customHeight="1" spans="1:15">
      <c r="A25" s="35">
        <v>43831</v>
      </c>
      <c r="B25" s="23">
        <f t="shared" si="5"/>
        <v>203694.69</v>
      </c>
      <c r="C25" s="36"/>
      <c r="D25" s="37" t="s">
        <v>38</v>
      </c>
      <c r="E25" s="43">
        <v>0.13</v>
      </c>
      <c r="F25" s="23">
        <f t="shared" si="4"/>
        <v>26480.31</v>
      </c>
      <c r="G25" s="39">
        <v>230175</v>
      </c>
      <c r="H25" s="22"/>
      <c r="I25" s="23"/>
      <c r="J25" s="59"/>
      <c r="K25" s="55" t="s">
        <v>51</v>
      </c>
      <c r="L25" s="33" t="s">
        <v>52</v>
      </c>
      <c r="M25" s="59"/>
      <c r="N25" s="69" t="s">
        <v>54</v>
      </c>
      <c r="O25" s="33"/>
    </row>
    <row r="26" customFormat="1" ht="18" customHeight="1" spans="1:15">
      <c r="A26" s="35">
        <v>43831</v>
      </c>
      <c r="B26" s="23">
        <f t="shared" si="5"/>
        <v>611650.49</v>
      </c>
      <c r="C26" s="36"/>
      <c r="D26" s="37" t="s">
        <v>38</v>
      </c>
      <c r="E26" s="43">
        <v>0.03</v>
      </c>
      <c r="F26" s="23">
        <f t="shared" si="4"/>
        <v>18349.51</v>
      </c>
      <c r="G26" s="39">
        <f>30000+100000+100000+100000+100000+100000+100000</f>
        <v>630000</v>
      </c>
      <c r="H26" s="22"/>
      <c r="I26" s="23"/>
      <c r="J26" s="59"/>
      <c r="K26" s="55" t="s">
        <v>41</v>
      </c>
      <c r="L26" s="33" t="s">
        <v>55</v>
      </c>
      <c r="M26" s="59"/>
      <c r="N26" s="59"/>
      <c r="O26" s="33"/>
    </row>
    <row r="27" customFormat="1" ht="18" customHeight="1" spans="1:15">
      <c r="A27" s="35">
        <v>43831</v>
      </c>
      <c r="B27" s="23">
        <f t="shared" si="5"/>
        <v>125786.41</v>
      </c>
      <c r="C27" s="45"/>
      <c r="D27" s="37" t="s">
        <v>38</v>
      </c>
      <c r="E27" s="43">
        <v>0.03</v>
      </c>
      <c r="F27" s="23">
        <f t="shared" si="4"/>
        <v>3773.59</v>
      </c>
      <c r="G27" s="39">
        <f>100000+29560</f>
        <v>129560</v>
      </c>
      <c r="H27" s="22"/>
      <c r="I27" s="23"/>
      <c r="J27" s="59"/>
      <c r="K27" s="55" t="s">
        <v>41</v>
      </c>
      <c r="L27" s="33" t="s">
        <v>56</v>
      </c>
      <c r="M27" s="59" t="s">
        <v>53</v>
      </c>
      <c r="N27" s="59" t="s">
        <v>53</v>
      </c>
      <c r="O27" s="33"/>
    </row>
    <row r="28" customFormat="1" ht="18" customHeight="1" spans="1:15">
      <c r="A28" s="35">
        <v>43831</v>
      </c>
      <c r="B28" s="23">
        <f t="shared" si="5"/>
        <v>728336.35</v>
      </c>
      <c r="C28" s="45"/>
      <c r="D28" s="37" t="s">
        <v>38</v>
      </c>
      <c r="E28" s="43">
        <v>0.13</v>
      </c>
      <c r="F28" s="23">
        <f t="shared" si="4"/>
        <v>94683.73</v>
      </c>
      <c r="G28" s="39">
        <v>823020.08</v>
      </c>
      <c r="H28" s="22"/>
      <c r="I28" s="23"/>
      <c r="J28" s="59"/>
      <c r="K28" s="55" t="s">
        <v>39</v>
      </c>
      <c r="L28" s="33" t="s">
        <v>57</v>
      </c>
      <c r="M28" s="59"/>
      <c r="N28" s="59" t="s">
        <v>53</v>
      </c>
      <c r="O28" s="33"/>
    </row>
    <row r="29" customFormat="1" ht="18" customHeight="1" spans="1:15">
      <c r="A29" s="35">
        <v>43831</v>
      </c>
      <c r="B29" s="23">
        <f t="shared" si="5"/>
        <v>70000</v>
      </c>
      <c r="C29" s="45"/>
      <c r="D29" s="37" t="s">
        <v>43</v>
      </c>
      <c r="E29" s="43"/>
      <c r="F29" s="23">
        <f t="shared" si="4"/>
        <v>0</v>
      </c>
      <c r="G29" s="39">
        <v>70000</v>
      </c>
      <c r="H29" s="22"/>
      <c r="I29" s="23"/>
      <c r="J29" s="59"/>
      <c r="K29" s="55" t="s">
        <v>58</v>
      </c>
      <c r="L29" s="33" t="s">
        <v>59</v>
      </c>
      <c r="M29" s="59"/>
      <c r="N29" s="59" t="s">
        <v>53</v>
      </c>
      <c r="O29" s="33"/>
    </row>
    <row r="30" customFormat="1" ht="18" customHeight="1" spans="1:15">
      <c r="A30" s="35"/>
      <c r="B30" s="23">
        <f t="shared" ref="B30:B37" si="6">ROUND(G30/(1+E30),2)</f>
        <v>0</v>
      </c>
      <c r="C30" s="45"/>
      <c r="D30" s="37"/>
      <c r="E30" s="43"/>
      <c r="F30" s="23">
        <f t="shared" ref="F30:F37" si="7">ROUND(G30/(1+E30)*E30,2)</f>
        <v>0</v>
      </c>
      <c r="G30" s="39"/>
      <c r="H30" s="22">
        <v>43851</v>
      </c>
      <c r="I30" s="23">
        <v>300000</v>
      </c>
      <c r="J30" s="59" t="s">
        <v>21</v>
      </c>
      <c r="K30" s="55" t="s">
        <v>39</v>
      </c>
      <c r="L30" s="33" t="s">
        <v>47</v>
      </c>
      <c r="M30" s="59"/>
      <c r="N30" s="59"/>
      <c r="O30" s="33"/>
    </row>
    <row r="31" customFormat="1" ht="18" customHeight="1" spans="1:15">
      <c r="A31" s="35"/>
      <c r="B31" s="23">
        <f t="shared" si="6"/>
        <v>0</v>
      </c>
      <c r="C31" s="45"/>
      <c r="D31" s="37"/>
      <c r="E31" s="43"/>
      <c r="F31" s="23">
        <f t="shared" si="7"/>
        <v>0</v>
      </c>
      <c r="G31" s="39"/>
      <c r="H31" s="22">
        <v>43851</v>
      </c>
      <c r="I31" s="23">
        <v>129560</v>
      </c>
      <c r="J31" s="59" t="s">
        <v>21</v>
      </c>
      <c r="K31" s="55" t="s">
        <v>41</v>
      </c>
      <c r="L31" s="33" t="s">
        <v>56</v>
      </c>
      <c r="M31" s="59"/>
      <c r="N31" s="59"/>
      <c r="O31" s="33"/>
    </row>
    <row r="32" customFormat="1" ht="18" customHeight="1" spans="1:15">
      <c r="A32" s="35"/>
      <c r="B32" s="23">
        <f t="shared" si="6"/>
        <v>0</v>
      </c>
      <c r="C32" s="45"/>
      <c r="D32" s="37"/>
      <c r="E32" s="43"/>
      <c r="F32" s="23">
        <f t="shared" si="7"/>
        <v>0</v>
      </c>
      <c r="G32" s="39"/>
      <c r="H32" s="22">
        <v>43851</v>
      </c>
      <c r="I32" s="23">
        <v>543434</v>
      </c>
      <c r="J32" s="59" t="s">
        <v>21</v>
      </c>
      <c r="K32" s="55" t="s">
        <v>41</v>
      </c>
      <c r="L32" s="33" t="s">
        <v>60</v>
      </c>
      <c r="M32" s="59"/>
      <c r="N32" s="59"/>
      <c r="O32" s="33"/>
    </row>
    <row r="33" customFormat="1" ht="18" customHeight="1" spans="1:15">
      <c r="A33" s="35"/>
      <c r="B33" s="23">
        <f t="shared" si="6"/>
        <v>0</v>
      </c>
      <c r="C33" s="45"/>
      <c r="D33" s="37"/>
      <c r="E33" s="43"/>
      <c r="F33" s="23">
        <f t="shared" si="7"/>
        <v>0</v>
      </c>
      <c r="G33" s="39"/>
      <c r="H33" s="22">
        <v>43851</v>
      </c>
      <c r="I33" s="23">
        <v>526041</v>
      </c>
      <c r="J33" s="59" t="s">
        <v>21</v>
      </c>
      <c r="K33" s="55" t="s">
        <v>4</v>
      </c>
      <c r="L33" s="33" t="s">
        <v>61</v>
      </c>
      <c r="M33" s="59"/>
      <c r="N33" s="59"/>
      <c r="O33" s="33"/>
    </row>
    <row r="34" customFormat="1" ht="18" customHeight="1" spans="1:15">
      <c r="A34" s="35"/>
      <c r="B34" s="23">
        <f t="shared" si="6"/>
        <v>0</v>
      </c>
      <c r="C34" s="45"/>
      <c r="D34" s="37"/>
      <c r="E34" s="43"/>
      <c r="F34" s="23">
        <f t="shared" si="7"/>
        <v>0</v>
      </c>
      <c r="G34" s="39"/>
      <c r="H34" s="22">
        <v>43851</v>
      </c>
      <c r="I34" s="23">
        <v>86930</v>
      </c>
      <c r="J34" s="59" t="s">
        <v>21</v>
      </c>
      <c r="K34" s="55" t="s">
        <v>4</v>
      </c>
      <c r="L34" s="33" t="s">
        <v>62</v>
      </c>
      <c r="M34" s="59"/>
      <c r="N34" s="59"/>
      <c r="O34" s="33"/>
    </row>
    <row r="35" customFormat="1" ht="18" customHeight="1" spans="1:15">
      <c r="A35" s="35"/>
      <c r="B35" s="23">
        <f t="shared" si="6"/>
        <v>0</v>
      </c>
      <c r="C35" s="45"/>
      <c r="D35" s="37"/>
      <c r="E35" s="43"/>
      <c r="F35" s="23">
        <f t="shared" si="7"/>
        <v>0</v>
      </c>
      <c r="G35" s="39"/>
      <c r="H35" s="22"/>
      <c r="I35" s="23"/>
      <c r="J35" s="59"/>
      <c r="K35" s="55"/>
      <c r="L35" s="33"/>
      <c r="M35" s="59"/>
      <c r="N35" s="59"/>
      <c r="O35" s="33"/>
    </row>
    <row r="36" customFormat="1" ht="18" customHeight="1" spans="1:15">
      <c r="A36" s="35"/>
      <c r="B36" s="23">
        <f t="shared" si="6"/>
        <v>0</v>
      </c>
      <c r="C36" s="45"/>
      <c r="D36" s="37"/>
      <c r="E36" s="43"/>
      <c r="F36" s="23">
        <f t="shared" si="7"/>
        <v>0</v>
      </c>
      <c r="G36" s="39"/>
      <c r="H36" s="22"/>
      <c r="I36" s="23"/>
      <c r="J36" s="59"/>
      <c r="K36" s="55"/>
      <c r="L36" s="33"/>
      <c r="M36" s="59"/>
      <c r="N36" s="59"/>
      <c r="O36" s="33"/>
    </row>
    <row r="37" customFormat="1" ht="18" customHeight="1" spans="1:15">
      <c r="A37" s="35"/>
      <c r="B37" s="23">
        <f t="shared" si="6"/>
        <v>0</v>
      </c>
      <c r="C37" s="45"/>
      <c r="D37" s="37"/>
      <c r="E37" s="43"/>
      <c r="F37" s="23">
        <f t="shared" si="7"/>
        <v>0</v>
      </c>
      <c r="G37" s="39"/>
      <c r="H37" s="22"/>
      <c r="I37" s="23"/>
      <c r="J37" s="59"/>
      <c r="K37" s="55"/>
      <c r="L37" s="33"/>
      <c r="M37" s="59"/>
      <c r="N37" s="59"/>
      <c r="O37" s="33"/>
    </row>
    <row r="38" customFormat="1" ht="18" customHeight="1" spans="1:15">
      <c r="A38" s="35"/>
      <c r="B38" s="23">
        <f t="shared" ref="B36:B42" si="8">ROUND(G38/(1+E38),2)</f>
        <v>0</v>
      </c>
      <c r="C38" s="45"/>
      <c r="D38" s="37"/>
      <c r="E38" s="43"/>
      <c r="F38" s="23">
        <f t="shared" ref="F36:F42" si="9">ROUND(G38/(1+E38)*E38,2)</f>
        <v>0</v>
      </c>
      <c r="G38" s="39"/>
      <c r="H38" s="22"/>
      <c r="I38" s="23"/>
      <c r="J38" s="59"/>
      <c r="K38" s="55"/>
      <c r="L38" s="33"/>
      <c r="M38" s="59"/>
      <c r="N38" s="59"/>
      <c r="O38" s="33"/>
    </row>
    <row r="39" customFormat="1" ht="18" customHeight="1" spans="1:15">
      <c r="A39" s="35"/>
      <c r="B39" s="23">
        <f t="shared" si="8"/>
        <v>0</v>
      </c>
      <c r="C39" s="45"/>
      <c r="D39" s="37"/>
      <c r="E39" s="43"/>
      <c r="F39" s="23">
        <f t="shared" si="9"/>
        <v>0</v>
      </c>
      <c r="G39" s="39"/>
      <c r="H39" s="22">
        <v>43851</v>
      </c>
      <c r="I39" s="23">
        <v>-64533.02</v>
      </c>
      <c r="J39" s="59" t="s">
        <v>63</v>
      </c>
      <c r="K39" s="55"/>
      <c r="L39" s="33"/>
      <c r="M39" s="59"/>
      <c r="N39" s="59"/>
      <c r="O39" s="33"/>
    </row>
    <row r="40" customFormat="1" ht="18" customHeight="1" spans="1:15">
      <c r="A40" s="35"/>
      <c r="B40" s="23">
        <f t="shared" si="8"/>
        <v>31720.02</v>
      </c>
      <c r="C40" s="45"/>
      <c r="D40" s="37"/>
      <c r="E40" s="43"/>
      <c r="F40" s="23">
        <f t="shared" si="9"/>
        <v>0</v>
      </c>
      <c r="G40" s="39">
        <v>31720.02</v>
      </c>
      <c r="H40" s="22" t="s">
        <v>64</v>
      </c>
      <c r="I40" s="23">
        <v>31720.02</v>
      </c>
      <c r="J40" s="59" t="s">
        <v>65</v>
      </c>
      <c r="K40" s="55" t="s">
        <v>66</v>
      </c>
      <c r="L40" s="33"/>
      <c r="M40" s="59"/>
      <c r="N40" s="59"/>
      <c r="O40" s="33"/>
    </row>
    <row r="41" customFormat="1" ht="18" customHeight="1" spans="1:15">
      <c r="A41" s="35"/>
      <c r="B41" s="23">
        <f t="shared" si="8"/>
        <v>0</v>
      </c>
      <c r="C41" s="36"/>
      <c r="D41" s="37"/>
      <c r="E41" s="43"/>
      <c r="F41" s="23">
        <f t="shared" si="9"/>
        <v>0</v>
      </c>
      <c r="G41" s="39"/>
      <c r="H41" s="22" t="s">
        <v>64</v>
      </c>
      <c r="I41" s="23">
        <v>31721</v>
      </c>
      <c r="J41" s="59" t="s">
        <v>65</v>
      </c>
      <c r="K41" s="66" t="s">
        <v>67</v>
      </c>
      <c r="L41" s="33"/>
      <c r="M41" s="59"/>
      <c r="N41" s="59"/>
      <c r="O41" s="33"/>
    </row>
    <row r="42" s="1" customFormat="1" ht="18" customHeight="1" spans="1:15">
      <c r="A42" s="42"/>
      <c r="B42" s="23">
        <f t="shared" si="8"/>
        <v>0</v>
      </c>
      <c r="C42" s="40"/>
      <c r="D42" s="44"/>
      <c r="E42" s="41"/>
      <c r="F42" s="23">
        <f t="shared" si="9"/>
        <v>0</v>
      </c>
      <c r="G42" s="26"/>
      <c r="H42" s="22" t="s">
        <v>64</v>
      </c>
      <c r="I42" s="23">
        <v>1092</v>
      </c>
      <c r="J42" s="59" t="s">
        <v>65</v>
      </c>
      <c r="K42" s="66" t="s">
        <v>68</v>
      </c>
      <c r="L42" s="67"/>
      <c r="M42" s="65"/>
      <c r="N42" s="65"/>
      <c r="O42" s="67"/>
    </row>
    <row r="43" s="1" customFormat="1" ht="18" customHeight="1" spans="1:15">
      <c r="A43" s="42"/>
      <c r="B43" s="23">
        <f t="shared" ref="B41:B43" si="10">ROUND(G43/(1+E43),2)</f>
        <v>0</v>
      </c>
      <c r="C43" s="40"/>
      <c r="D43" s="44"/>
      <c r="E43" s="41"/>
      <c r="F43" s="23">
        <f t="shared" ref="F41:F43" si="11">ROUND(G43/(1+E43)*E43,2)</f>
        <v>0</v>
      </c>
      <c r="G43" s="26"/>
      <c r="H43" s="22" t="s">
        <v>69</v>
      </c>
      <c r="I43" s="23">
        <v>-39806.14</v>
      </c>
      <c r="J43" s="59" t="s">
        <v>70</v>
      </c>
      <c r="K43" s="66" t="s">
        <v>71</v>
      </c>
      <c r="L43" s="70" t="s">
        <v>72</v>
      </c>
      <c r="M43" s="65"/>
      <c r="N43" s="65"/>
      <c r="O43" s="67"/>
    </row>
    <row r="44" s="1" customFormat="1" ht="18" customHeight="1" spans="1:15">
      <c r="A44" s="42"/>
      <c r="B44" s="17">
        <f t="shared" ref="B42:B52" si="12">ROUND(G44/(1+E44),2)</f>
        <v>0</v>
      </c>
      <c r="C44" s="40"/>
      <c r="D44" s="44"/>
      <c r="E44" s="41"/>
      <c r="F44" s="17">
        <f t="shared" ref="F42:F52" si="13">ROUND(G44/(1+E44)*E44,2)</f>
        <v>0</v>
      </c>
      <c r="G44" s="26"/>
      <c r="H44" s="22" t="s">
        <v>69</v>
      </c>
      <c r="I44" s="23">
        <v>18710</v>
      </c>
      <c r="J44" s="59" t="s">
        <v>65</v>
      </c>
      <c r="K44" s="66" t="s">
        <v>67</v>
      </c>
      <c r="L44" s="67"/>
      <c r="M44" s="65"/>
      <c r="N44" s="65"/>
      <c r="O44" s="67"/>
    </row>
    <row r="45" s="1" customFormat="1" ht="18" customHeight="1" spans="1:15">
      <c r="A45" s="42"/>
      <c r="B45" s="17">
        <f t="shared" si="12"/>
        <v>0</v>
      </c>
      <c r="C45" s="40"/>
      <c r="D45" s="44"/>
      <c r="E45" s="41"/>
      <c r="F45" s="17">
        <f t="shared" si="13"/>
        <v>0</v>
      </c>
      <c r="G45" s="26"/>
      <c r="H45" s="22" t="s">
        <v>69</v>
      </c>
      <c r="I45" s="23">
        <v>702</v>
      </c>
      <c r="J45" s="59" t="s">
        <v>65</v>
      </c>
      <c r="K45" s="66" t="s">
        <v>68</v>
      </c>
      <c r="L45" s="67"/>
      <c r="M45" s="65"/>
      <c r="N45" s="65"/>
      <c r="O45" s="67"/>
    </row>
    <row r="46" s="1" customFormat="1" ht="18" customHeight="1" spans="1:15">
      <c r="A46" s="42"/>
      <c r="B46" s="17">
        <f t="shared" si="12"/>
        <v>20394.14</v>
      </c>
      <c r="C46" s="40"/>
      <c r="D46" s="44"/>
      <c r="E46" s="41"/>
      <c r="F46" s="17">
        <f t="shared" si="13"/>
        <v>0</v>
      </c>
      <c r="G46" s="26">
        <v>20394.14</v>
      </c>
      <c r="H46" s="22" t="s">
        <v>69</v>
      </c>
      <c r="I46" s="23">
        <f>G46</f>
        <v>20394.14</v>
      </c>
      <c r="J46" s="59" t="s">
        <v>65</v>
      </c>
      <c r="K46" s="66" t="s">
        <v>66</v>
      </c>
      <c r="L46" s="67"/>
      <c r="M46" s="65"/>
      <c r="N46" s="65"/>
      <c r="O46" s="67"/>
    </row>
    <row r="47" s="1" customFormat="1" ht="18" customHeight="1" spans="1:15">
      <c r="A47" s="42"/>
      <c r="B47" s="17">
        <f t="shared" si="12"/>
        <v>0</v>
      </c>
      <c r="C47" s="40"/>
      <c r="D47" s="44"/>
      <c r="E47" s="41"/>
      <c r="F47" s="17">
        <f t="shared" si="13"/>
        <v>0</v>
      </c>
      <c r="G47" s="26"/>
      <c r="H47" s="22"/>
      <c r="I47" s="23">
        <v>500</v>
      </c>
      <c r="J47" s="59" t="s">
        <v>65</v>
      </c>
      <c r="K47" s="66" t="s">
        <v>73</v>
      </c>
      <c r="L47" s="67"/>
      <c r="M47" s="65"/>
      <c r="N47" s="65"/>
      <c r="O47" s="67"/>
    </row>
    <row r="48" s="1" customFormat="1" ht="18" customHeight="1" spans="1:15">
      <c r="A48" s="42"/>
      <c r="B48" s="17">
        <f t="shared" si="12"/>
        <v>0</v>
      </c>
      <c r="C48" s="40"/>
      <c r="D48" s="44"/>
      <c r="E48" s="41"/>
      <c r="F48" s="17">
        <f t="shared" si="13"/>
        <v>0</v>
      </c>
      <c r="G48" s="26"/>
      <c r="H48" s="22"/>
      <c r="I48" s="23">
        <v>-37462</v>
      </c>
      <c r="J48" s="59"/>
      <c r="K48" s="66" t="s">
        <v>95</v>
      </c>
      <c r="L48" s="67"/>
      <c r="M48" s="65"/>
      <c r="N48" s="65"/>
      <c r="O48" s="67"/>
    </row>
    <row r="49" s="1" customFormat="1" ht="18" customHeight="1" spans="1:15">
      <c r="A49" s="42"/>
      <c r="B49" s="17">
        <f t="shared" si="12"/>
        <v>0</v>
      </c>
      <c r="C49" s="40"/>
      <c r="D49" s="44"/>
      <c r="E49" s="41"/>
      <c r="F49" s="17">
        <f t="shared" si="13"/>
        <v>0</v>
      </c>
      <c r="G49" s="26"/>
      <c r="H49" s="22"/>
      <c r="I49" s="23">
        <v>-38709</v>
      </c>
      <c r="J49" s="59"/>
      <c r="K49" s="66" t="s">
        <v>95</v>
      </c>
      <c r="L49" s="67"/>
      <c r="M49" s="65"/>
      <c r="N49" s="65"/>
      <c r="O49" s="67"/>
    </row>
    <row r="50" s="1" customFormat="1" ht="18" customHeight="1" spans="1:18">
      <c r="A50" s="42"/>
      <c r="B50" s="17">
        <f t="shared" si="12"/>
        <v>0</v>
      </c>
      <c r="C50" s="40"/>
      <c r="D50" s="44"/>
      <c r="E50" s="41"/>
      <c r="F50" s="17">
        <f t="shared" si="13"/>
        <v>0</v>
      </c>
      <c r="G50" s="26"/>
      <c r="H50" s="22"/>
      <c r="I50" s="23">
        <v>35626</v>
      </c>
      <c r="J50" s="59" t="s">
        <v>65</v>
      </c>
      <c r="K50" s="66" t="s">
        <v>67</v>
      </c>
      <c r="L50" s="67"/>
      <c r="M50" s="65"/>
      <c r="N50" s="65"/>
      <c r="O50" s="67"/>
      <c r="R50" s="1" t="s">
        <v>74</v>
      </c>
    </row>
    <row r="51" s="1" customFormat="1" ht="18" customHeight="1" spans="1:15">
      <c r="A51" s="42"/>
      <c r="B51" s="17">
        <f t="shared" si="12"/>
        <v>0</v>
      </c>
      <c r="C51" s="40"/>
      <c r="D51" s="44"/>
      <c r="E51" s="41"/>
      <c r="F51" s="17">
        <f t="shared" si="13"/>
        <v>0</v>
      </c>
      <c r="G51" s="26"/>
      <c r="H51" s="22"/>
      <c r="I51" s="23">
        <v>1336</v>
      </c>
      <c r="J51" s="59" t="s">
        <v>65</v>
      </c>
      <c r="K51" s="66" t="s">
        <v>68</v>
      </c>
      <c r="L51" s="67"/>
      <c r="M51" s="65"/>
      <c r="N51" s="65"/>
      <c r="O51" s="67"/>
    </row>
    <row r="52" s="1" customFormat="1" ht="18" customHeight="1" spans="1:15">
      <c r="A52" s="42"/>
      <c r="B52" s="17">
        <f t="shared" si="12"/>
        <v>38709</v>
      </c>
      <c r="C52" s="40"/>
      <c r="D52" s="44"/>
      <c r="E52" s="41"/>
      <c r="F52" s="17">
        <f t="shared" si="13"/>
        <v>0</v>
      </c>
      <c r="G52" s="26">
        <f>38709</f>
        <v>38709</v>
      </c>
      <c r="H52" s="22"/>
      <c r="I52" s="23">
        <f>G52</f>
        <v>38709</v>
      </c>
      <c r="J52" s="59" t="s">
        <v>65</v>
      </c>
      <c r="K52" s="66" t="s">
        <v>66</v>
      </c>
      <c r="L52" s="67"/>
      <c r="M52" s="65"/>
      <c r="N52" s="65"/>
      <c r="O52" s="67"/>
    </row>
    <row r="53" ht="18" customHeight="1" spans="1:15">
      <c r="A53" s="30" t="s">
        <v>24</v>
      </c>
      <c r="B53" s="29">
        <f>SUM(B14:B52)</f>
        <v>5224278.81</v>
      </c>
      <c r="C53" s="30"/>
      <c r="D53" s="46"/>
      <c r="E53" s="46"/>
      <c r="F53" s="32">
        <f>SUM(F14:F52)</f>
        <v>414922.68</v>
      </c>
      <c r="G53" s="47">
        <f>SUM(G14:G52)</f>
        <v>5639201.49</v>
      </c>
      <c r="H53" s="48"/>
      <c r="I53" s="31">
        <f>SUM(I14:I52)</f>
        <v>4516112</v>
      </c>
      <c r="J53" s="71"/>
      <c r="K53" s="46"/>
      <c r="L53" s="33"/>
      <c r="M53" s="59"/>
      <c r="N53" s="59"/>
      <c r="O53" s="33"/>
    </row>
    <row r="54" ht="18" customHeight="1" spans="1:14">
      <c r="A54" s="49" t="s">
        <v>75</v>
      </c>
      <c r="B54" s="50">
        <f>B11*0.984</f>
        <v>5131338.64513762</v>
      </c>
      <c r="C54" s="49"/>
      <c r="D54" s="51"/>
      <c r="E54" s="51"/>
      <c r="F54" s="50"/>
      <c r="G54" s="50">
        <f>G11-G53</f>
        <v>67169.5100000007</v>
      </c>
      <c r="H54" s="21" t="s">
        <v>76</v>
      </c>
      <c r="I54" s="31">
        <f>I11-I53</f>
        <v>0</v>
      </c>
      <c r="J54" s="6"/>
      <c r="K54" s="72"/>
      <c r="M54" s="73"/>
      <c r="N54" s="73"/>
    </row>
    <row r="55" ht="18" customHeight="1" spans="1:14">
      <c r="A55" s="49" t="s">
        <v>77</v>
      </c>
      <c r="B55" s="50">
        <f>B54-B53</f>
        <v>-92940.1648623794</v>
      </c>
      <c r="C55" s="49"/>
      <c r="D55" s="51"/>
      <c r="E55" s="51"/>
      <c r="F55" s="50"/>
      <c r="G55" s="50"/>
      <c r="H55" s="52"/>
      <c r="I55" s="50"/>
      <c r="J55" s="6"/>
      <c r="K55" s="72"/>
      <c r="M55" s="73"/>
      <c r="N55" s="73"/>
    </row>
    <row r="56" ht="18" customHeight="1" spans="1:3">
      <c r="A56" s="2" t="s">
        <v>78</v>
      </c>
      <c r="C56" s="2"/>
    </row>
    <row r="57" ht="18" customHeight="1" spans="1:9">
      <c r="A57" s="21" t="s">
        <v>79</v>
      </c>
      <c r="B57" s="20" t="s">
        <v>80</v>
      </c>
      <c r="C57" s="33"/>
      <c r="D57" s="21" t="s">
        <v>79</v>
      </c>
      <c r="E57" s="19" t="s">
        <v>16</v>
      </c>
      <c r="F57" s="20" t="s">
        <v>80</v>
      </c>
      <c r="G57" s="20" t="s">
        <v>81</v>
      </c>
      <c r="H57" s="20" t="s">
        <v>82</v>
      </c>
      <c r="I57" s="20" t="s">
        <v>83</v>
      </c>
    </row>
    <row r="58" ht="18" customHeight="1" spans="1:21">
      <c r="A58" s="33" t="s">
        <v>85</v>
      </c>
      <c r="B58" s="17">
        <f>(B54-B53)*0.25</f>
        <v>-23235.0412155949</v>
      </c>
      <c r="C58" s="33"/>
      <c r="D58" s="28" t="s">
        <v>86</v>
      </c>
      <c r="E58" s="21" t="s">
        <v>87</v>
      </c>
      <c r="F58" s="32">
        <f>F11-F53</f>
        <v>-27622.226788991</v>
      </c>
      <c r="G58" s="32">
        <v>0</v>
      </c>
      <c r="H58" s="32">
        <v>0</v>
      </c>
      <c r="I58" s="32">
        <v>0</v>
      </c>
      <c r="S58" s="23">
        <v>35626</v>
      </c>
      <c r="T58" s="59" t="s">
        <v>65</v>
      </c>
      <c r="U58" s="66" t="s">
        <v>67</v>
      </c>
    </row>
    <row r="59" ht="18" customHeight="1" spans="1:21">
      <c r="A59" s="33" t="s">
        <v>88</v>
      </c>
      <c r="B59" s="53" t="s">
        <v>89</v>
      </c>
      <c r="C59" s="33"/>
      <c r="D59" s="54" t="s">
        <v>90</v>
      </c>
      <c r="E59" s="13">
        <v>0.05</v>
      </c>
      <c r="F59" s="23">
        <f>F58*E59</f>
        <v>-1381.11133944955</v>
      </c>
      <c r="G59" s="23">
        <v>0</v>
      </c>
      <c r="H59" s="23">
        <v>0</v>
      </c>
      <c r="I59" s="23">
        <v>0</v>
      </c>
      <c r="S59" s="23">
        <v>1336</v>
      </c>
      <c r="T59" s="59" t="s">
        <v>65</v>
      </c>
      <c r="U59" s="66" t="s">
        <v>68</v>
      </c>
    </row>
    <row r="60" ht="18" customHeight="1" spans="1:19">
      <c r="A60" s="33" t="s">
        <v>68</v>
      </c>
      <c r="B60" s="53"/>
      <c r="C60" s="33"/>
      <c r="D60" s="54" t="s">
        <v>91</v>
      </c>
      <c r="E60" s="13">
        <v>0.03</v>
      </c>
      <c r="F60" s="23">
        <f>F58*E60</f>
        <v>-828.66680366973</v>
      </c>
      <c r="G60" s="23">
        <v>0</v>
      </c>
      <c r="H60" s="23">
        <v>0</v>
      </c>
      <c r="I60" s="23">
        <v>0</v>
      </c>
      <c r="S60" s="50">
        <f>S58+S59</f>
        <v>36962</v>
      </c>
    </row>
    <row r="61" ht="18" customHeight="1" spans="1:9">
      <c r="A61" s="33"/>
      <c r="B61" s="23"/>
      <c r="C61" s="33"/>
      <c r="D61" s="54" t="s">
        <v>92</v>
      </c>
      <c r="E61" s="13">
        <v>0.02</v>
      </c>
      <c r="F61" s="23">
        <f>F58*E61</f>
        <v>-552.44453577982</v>
      </c>
      <c r="G61" s="23">
        <v>0</v>
      </c>
      <c r="H61" s="23">
        <v>0</v>
      </c>
      <c r="I61" s="23">
        <v>0</v>
      </c>
    </row>
    <row r="62" ht="18" customHeight="1" spans="1:9">
      <c r="A62" s="28" t="s">
        <v>93</v>
      </c>
      <c r="B62" s="29">
        <f>SUM(B58:B61)</f>
        <v>-23235.0412155949</v>
      </c>
      <c r="C62" s="33"/>
      <c r="D62" s="34" t="s">
        <v>93</v>
      </c>
      <c r="E62" s="28"/>
      <c r="F62" s="32">
        <f>SUM(F58:F61)</f>
        <v>-30384.4494678901</v>
      </c>
      <c r="G62" s="32">
        <v>0</v>
      </c>
      <c r="H62" s="32">
        <v>0</v>
      </c>
      <c r="I62" s="32">
        <v>0</v>
      </c>
    </row>
    <row r="63" ht="18" customHeight="1" spans="3:9">
      <c r="C63" s="2"/>
      <c r="D63" s="11" t="s">
        <v>68</v>
      </c>
      <c r="E63" s="55">
        <v>0.0006</v>
      </c>
      <c r="F63" s="23">
        <f>B11*E63</f>
        <v>3128.86502752294</v>
      </c>
      <c r="G63" s="23">
        <f>B7*E63</f>
        <v>1335.972</v>
      </c>
      <c r="H63" s="23">
        <f>B8*E63</f>
        <v>701.608073394498</v>
      </c>
      <c r="I63" s="23">
        <f>B9*E63</f>
        <v>1091.28495412844</v>
      </c>
    </row>
    <row r="64" ht="18" customHeight="1" spans="3:9">
      <c r="C64" s="2"/>
      <c r="D64" s="19" t="s">
        <v>93</v>
      </c>
      <c r="E64" s="46"/>
      <c r="F64" s="31">
        <f t="shared" ref="F64:I64" si="14">F63</f>
        <v>3128.86502752294</v>
      </c>
      <c r="G64" s="31">
        <f t="shared" si="14"/>
        <v>1335.972</v>
      </c>
      <c r="H64" s="31">
        <f t="shared" si="14"/>
        <v>701.608073394498</v>
      </c>
      <c r="I64" s="31">
        <f t="shared" si="14"/>
        <v>1091.28495412844</v>
      </c>
    </row>
    <row r="65" ht="18" customHeight="1" spans="3:9">
      <c r="C65" s="2"/>
      <c r="D65" s="19" t="s">
        <v>24</v>
      </c>
      <c r="E65" s="30"/>
      <c r="F65" s="31">
        <f t="shared" ref="F65:H65" si="15">F62+F64</f>
        <v>-27255.5844403672</v>
      </c>
      <c r="G65" s="31">
        <f t="shared" si="15"/>
        <v>1335.972</v>
      </c>
      <c r="H65" s="31">
        <f t="shared" si="15"/>
        <v>701.608073394498</v>
      </c>
      <c r="I65" s="31"/>
    </row>
    <row r="66" ht="18" customHeight="1" spans="3:9">
      <c r="C66" s="2"/>
      <c r="D66" s="30" t="s">
        <v>85</v>
      </c>
      <c r="E66" s="46">
        <v>0.016</v>
      </c>
      <c r="F66" s="31">
        <f>B11*E66</f>
        <v>83436.400733945</v>
      </c>
      <c r="G66" s="31">
        <f>B7*E66</f>
        <v>35625.92</v>
      </c>
      <c r="H66" s="31">
        <f>B8*E66</f>
        <v>18709.5486238533</v>
      </c>
      <c r="I66" s="31">
        <f>G9*E66</f>
        <v>31720.016</v>
      </c>
    </row>
    <row r="67" ht="18" customHeight="1" spans="3:3">
      <c r="C67" s="2"/>
    </row>
    <row r="68" ht="18" customHeight="1" spans="3:3">
      <c r="C68" s="2"/>
    </row>
    <row r="69" ht="18" customHeight="1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  <row r="78" spans="3:3">
      <c r="C78" s="2"/>
    </row>
    <row r="79" spans="3:3">
      <c r="C79" s="2"/>
    </row>
    <row r="80" spans="3:3">
      <c r="C80" s="2"/>
    </row>
    <row r="81" spans="3:3">
      <c r="C81" s="2"/>
    </row>
    <row r="82" spans="3:3">
      <c r="C82" s="2"/>
    </row>
    <row r="83" spans="3:3">
      <c r="C83" s="2"/>
    </row>
    <row r="84" spans="3:3">
      <c r="C84" s="2"/>
    </row>
    <row r="85" spans="3:3">
      <c r="C85" s="2"/>
    </row>
  </sheetData>
  <protectedRanges>
    <protectedRange password="CF54" sqref="I21" name="区域1"/>
  </protectedRanges>
  <autoFilter ref="A13:U66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2021-06-23T08:00:54Z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8A314536E34640028C55A281D0FB736E</vt:lpwstr>
  </property>
</Properties>
</file>