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新" sheetId="2" r:id="rId1"/>
    <sheet name="旧" sheetId="1" r:id="rId2"/>
  </sheets>
  <definedNames>
    <definedName name="_xlnm._FilterDatabase" localSheetId="0" hidden="1">新!$A$14:$O$46</definedName>
  </definedNames>
  <calcPr calcId="144525"/>
</workbook>
</file>

<file path=xl/comments1.xml><?xml version="1.0" encoding="utf-8"?>
<comments xmlns="http://schemas.openxmlformats.org/spreadsheetml/2006/main">
  <authors>
    <author>qyr</author>
    <author>cw05</author>
  </authors>
  <commentList>
    <comment ref="D8" authorId="0">
      <text>
        <r>
          <rPr>
            <b/>
            <sz val="9"/>
            <rFont val="宋体"/>
            <charset val="134"/>
          </rPr>
          <t>qyr:</t>
        </r>
        <r>
          <rPr>
            <sz val="9"/>
            <rFont val="宋体"/>
            <charset val="134"/>
          </rPr>
          <t xml:space="preserve">
吴总同意异地不缴税，后期公司扣</t>
        </r>
      </text>
    </comment>
    <comment ref="G8" authorId="1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填写开票数字</t>
        </r>
      </text>
    </comment>
    <comment ref="E15" authorId="1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填写专票税率</t>
        </r>
      </text>
    </comment>
    <comment ref="G15" authorId="1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  <comment ref="A60" authorId="1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当地未缴，本地代扣代缴，含税价*0.0003。</t>
        </r>
      </text>
    </comment>
    <comment ref="A61" authorId="1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当地未缴，本地代扣代缴，不含税销售额*0.0006</t>
        </r>
      </text>
    </comment>
    <comment ref="D64" authorId="1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当地未缴，本地代扣代缴，含税价*0.0003。</t>
        </r>
      </text>
    </comment>
    <comment ref="D65" authorId="1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当地未缴，本地代扣代缴，不含税销售额*0.0006</t>
        </r>
      </text>
    </comment>
  </commentList>
</comments>
</file>

<file path=xl/comments2.xml><?xml version="1.0" encoding="utf-8"?>
<comments xmlns="http://schemas.openxmlformats.org/spreadsheetml/2006/main">
  <authors>
    <author>cw05</author>
  </authors>
  <commentList>
    <comment ref="G8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填写开票数字</t>
        </r>
      </text>
    </comment>
    <comment ref="E15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填写专票税率</t>
        </r>
      </text>
    </comment>
    <comment ref="G15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  <comment ref="A42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当地未缴，本地代扣代缴，含税价*0.0003。</t>
        </r>
      </text>
    </comment>
    <comment ref="A43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当地未缴，本地代扣代缴，不含税销售额*0.0006</t>
        </r>
      </text>
    </comment>
  </commentList>
</comments>
</file>

<file path=xl/sharedStrings.xml><?xml version="1.0" encoding="utf-8"?>
<sst xmlns="http://schemas.openxmlformats.org/spreadsheetml/2006/main" count="263" uniqueCount="85">
  <si>
    <t>C9760   通邮路（龙湖路-善水路）及丽水街（南湖路-环湖西路）道路交通工程</t>
  </si>
  <si>
    <t>中标日期</t>
  </si>
  <si>
    <t>2018.5.30</t>
  </si>
  <si>
    <t>中标价</t>
  </si>
  <si>
    <t>负责人</t>
  </si>
  <si>
    <t>孙容</t>
  </si>
  <si>
    <t>建设单位</t>
  </si>
  <si>
    <t>蚌埠恒泰建设发展有限公司91340300098680912K</t>
  </si>
  <si>
    <t>安徽蚌埠大学科技园城市之门405、0552-3755515</t>
  </si>
  <si>
    <t>决算日期</t>
  </si>
  <si>
    <t>决算价</t>
  </si>
  <si>
    <t>徽行涂山东路支行、1282 0010 2100 0507 885</t>
  </si>
  <si>
    <t>销售开票：</t>
  </si>
  <si>
    <t>开票日期</t>
  </si>
  <si>
    <t>收入金额</t>
  </si>
  <si>
    <t>工程地缴税</t>
  </si>
  <si>
    <t>企业本地缴税</t>
  </si>
  <si>
    <t>价税合计</t>
  </si>
  <si>
    <t>到款情况</t>
  </si>
  <si>
    <t>税率</t>
  </si>
  <si>
    <t>增值税额</t>
  </si>
  <si>
    <t>日期</t>
  </si>
  <si>
    <t>金额</t>
  </si>
  <si>
    <t>银行</t>
  </si>
  <si>
    <t>19.9.5</t>
  </si>
  <si>
    <t>19.9.11</t>
  </si>
  <si>
    <t>中</t>
  </si>
  <si>
    <t>新中行</t>
  </si>
  <si>
    <t>合计</t>
  </si>
  <si>
    <t>材料发票：</t>
  </si>
  <si>
    <t>收票日期</t>
  </si>
  <si>
    <t>成本金额</t>
  </si>
  <si>
    <t>份数</t>
  </si>
  <si>
    <t>类型</t>
  </si>
  <si>
    <t>进项税额</t>
  </si>
  <si>
    <t>付款日期</t>
  </si>
  <si>
    <t>付款金额</t>
  </si>
  <si>
    <t>销货单位</t>
  </si>
  <si>
    <t>货物</t>
  </si>
  <si>
    <t>合同</t>
  </si>
  <si>
    <t>发货单</t>
  </si>
  <si>
    <t>备注</t>
  </si>
  <si>
    <t>专</t>
  </si>
  <si>
    <t>杭州海康威视科技有限公司</t>
  </si>
  <si>
    <t>安徽悦利贞智控科技有限公司</t>
  </si>
  <si>
    <t>深圳市城铭科技有限公司</t>
  </si>
  <si>
    <t>办公用品</t>
  </si>
  <si>
    <t>中国平安财产保险股份有限公司合肥中心支公司</t>
  </si>
  <si>
    <t>保险费</t>
  </si>
  <si>
    <t>深圳莱特林克科技发展有限公司</t>
  </si>
  <si>
    <t>安徽领迅智能科技有限公司</t>
  </si>
  <si>
    <t>材料款</t>
  </si>
  <si>
    <t>上海圆迈贸易有限公司</t>
  </si>
  <si>
    <t>普</t>
  </si>
  <si>
    <t>税务局代开</t>
  </si>
  <si>
    <t>工程款</t>
  </si>
  <si>
    <t>辅材费</t>
  </si>
  <si>
    <t>差旅费</t>
  </si>
  <si>
    <t>管理费用</t>
  </si>
  <si>
    <t>办公费用</t>
  </si>
  <si>
    <t>通行费</t>
  </si>
  <si>
    <t>安徽萧然建设工程有限公司</t>
  </si>
  <si>
    <t>工程服务</t>
  </si>
  <si>
    <t>9760-2022-001#-1032200</t>
  </si>
  <si>
    <t>扣</t>
  </si>
  <si>
    <t>2019.9月异地2%税金、印花税、水利基金</t>
  </si>
  <si>
    <t>2022年1月异地2%税金、印花税、水利基金</t>
  </si>
  <si>
    <t>管理费</t>
  </si>
  <si>
    <t>可支付金额</t>
  </si>
  <si>
    <t>公司代缴税金：</t>
  </si>
  <si>
    <t>税种</t>
  </si>
  <si>
    <t>税额</t>
  </si>
  <si>
    <t>2019.9月异地2%税金</t>
  </si>
  <si>
    <t>2022年1月异地2%税金</t>
  </si>
  <si>
    <t>企业所得税</t>
  </si>
  <si>
    <t>增值税</t>
  </si>
  <si>
    <t>差额</t>
  </si>
  <si>
    <t>印花税</t>
  </si>
  <si>
    <t>城市维护建设税</t>
  </si>
  <si>
    <t>水利基金</t>
  </si>
  <si>
    <t>教育费附加</t>
  </si>
  <si>
    <t>地方教育费附加</t>
  </si>
  <si>
    <t>小计</t>
  </si>
  <si>
    <t>通邮路9760</t>
  </si>
  <si>
    <t>11月税费</t>
  </si>
</sst>
</file>

<file path=xl/styles.xml><?xml version="1.0" encoding="utf-8"?>
<styleSheet xmlns="http://schemas.openxmlformats.org/spreadsheetml/2006/main">
  <numFmts count="8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#,##0.00_ "/>
    <numFmt numFmtId="177" formatCode="yy/m/d;@"/>
    <numFmt numFmtId="178" formatCode="#,##0_ "/>
    <numFmt numFmtId="179" formatCode="yyyy&quot;年&quot;m&quot;月&quot;;@"/>
  </numFmts>
  <fonts count="34">
    <font>
      <sz val="11"/>
      <color theme="1"/>
      <name val="等线"/>
      <charset val="134"/>
      <scheme val="minor"/>
    </font>
    <font>
      <sz val="9"/>
      <name val="等线"/>
      <charset val="134"/>
      <scheme val="minor"/>
    </font>
    <font>
      <sz val="9"/>
      <color theme="1"/>
      <name val="等线"/>
      <charset val="134"/>
      <scheme val="minor"/>
    </font>
    <font>
      <b/>
      <sz val="11"/>
      <color rgb="FF333333"/>
      <name val="宋体"/>
      <charset val="134"/>
    </font>
    <font>
      <b/>
      <sz val="11"/>
      <color rgb="FF333333"/>
      <name val="ˎ̥"/>
      <charset val="134"/>
    </font>
    <font>
      <b/>
      <sz val="11"/>
      <color theme="1"/>
      <name val="等线"/>
      <charset val="134"/>
      <scheme val="minor"/>
    </font>
    <font>
      <b/>
      <sz val="9"/>
      <color theme="1"/>
      <name val="等线"/>
      <charset val="134"/>
      <scheme val="minor"/>
    </font>
    <font>
      <sz val="9"/>
      <color rgb="FFFF0000"/>
      <name val="等线"/>
      <charset val="134"/>
      <scheme val="minor"/>
    </font>
    <font>
      <sz val="9"/>
      <color theme="1"/>
      <name val="宋体"/>
      <charset val="134"/>
    </font>
    <font>
      <sz val="9"/>
      <name val="宋体"/>
      <charset val="134"/>
    </font>
    <font>
      <b/>
      <sz val="11"/>
      <color theme="1"/>
      <name val="宋体"/>
      <charset val="134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2" fillId="16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6" fillId="15" borderId="14" applyNumberFormat="0" applyAlignment="0" applyProtection="0">
      <alignment vertical="center"/>
    </xf>
    <xf numFmtId="0" fontId="19" fillId="15" borderId="12" applyNumberFormat="0" applyAlignment="0" applyProtection="0">
      <alignment vertical="center"/>
    </xf>
    <xf numFmtId="0" fontId="24" fillId="20" borderId="13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</cellStyleXfs>
  <cellXfs count="119">
    <xf numFmtId="0" fontId="0" fillId="0" borderId="0" xfId="0"/>
    <xf numFmtId="0" fontId="1" fillId="0" borderId="0" xfId="0" applyFont="1" applyAlignment="1">
      <alignment vertical="center"/>
    </xf>
    <xf numFmtId="177" fontId="2" fillId="0" borderId="0" xfId="0" applyNumberFormat="1" applyFont="1" applyAlignment="1">
      <alignment vertical="center"/>
    </xf>
    <xf numFmtId="176" fontId="2" fillId="0" borderId="0" xfId="0" applyNumberFormat="1" applyFont="1" applyAlignment="1">
      <alignment vertical="center"/>
    </xf>
    <xf numFmtId="10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7" fontId="2" fillId="0" borderId="2" xfId="0" applyNumberFormat="1" applyFont="1" applyBorder="1" applyAlignment="1">
      <alignment vertical="center"/>
    </xf>
    <xf numFmtId="177" fontId="1" fillId="0" borderId="2" xfId="0" applyNumberFormat="1" applyFont="1" applyBorder="1" applyAlignment="1">
      <alignment horizontal="center" vertical="center"/>
    </xf>
    <xf numFmtId="176" fontId="2" fillId="0" borderId="2" xfId="0" applyNumberFormat="1" applyFont="1" applyBorder="1" applyAlignment="1">
      <alignment vertical="center"/>
    </xf>
    <xf numFmtId="176" fontId="2" fillId="0" borderId="2" xfId="0" applyNumberFormat="1" applyFont="1" applyBorder="1" applyAlignment="1">
      <alignment horizontal="center" vertical="center"/>
    </xf>
    <xf numFmtId="177" fontId="2" fillId="0" borderId="3" xfId="0" applyNumberFormat="1" applyFont="1" applyBorder="1" applyAlignment="1">
      <alignment horizontal="left" vertical="center"/>
    </xf>
    <xf numFmtId="177" fontId="1" fillId="0" borderId="2" xfId="0" applyNumberFormat="1" applyFont="1" applyBorder="1" applyAlignment="1">
      <alignment vertical="center"/>
    </xf>
    <xf numFmtId="177" fontId="5" fillId="0" borderId="0" xfId="0" applyNumberFormat="1" applyFont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177" fontId="2" fillId="0" borderId="2" xfId="0" applyNumberFormat="1" applyFont="1" applyBorder="1" applyAlignment="1">
      <alignment horizontal="center" vertical="center"/>
    </xf>
    <xf numFmtId="9" fontId="2" fillId="0" borderId="2" xfId="11" applyFont="1" applyBorder="1" applyAlignment="1">
      <alignment horizontal="center" vertical="center"/>
    </xf>
    <xf numFmtId="176" fontId="1" fillId="2" borderId="2" xfId="0" applyNumberFormat="1" applyFont="1" applyFill="1" applyBorder="1" applyAlignment="1">
      <alignment vertical="center"/>
    </xf>
    <xf numFmtId="177" fontId="6" fillId="0" borderId="2" xfId="0" applyNumberFormat="1" applyFont="1" applyBorder="1" applyAlignment="1">
      <alignment vertical="center"/>
    </xf>
    <xf numFmtId="176" fontId="6" fillId="3" borderId="2" xfId="0" applyNumberFormat="1" applyFont="1" applyFill="1" applyBorder="1" applyAlignment="1">
      <alignment vertical="center"/>
    </xf>
    <xf numFmtId="176" fontId="6" fillId="0" borderId="2" xfId="0" applyNumberFormat="1" applyFont="1" applyBorder="1" applyAlignment="1">
      <alignment vertical="center"/>
    </xf>
    <xf numFmtId="176" fontId="6" fillId="4" borderId="2" xfId="0" applyNumberFormat="1" applyFont="1" applyFill="1" applyBorder="1" applyAlignment="1">
      <alignment vertical="center"/>
    </xf>
    <xf numFmtId="0" fontId="2" fillId="0" borderId="2" xfId="0" applyFont="1" applyBorder="1" applyAlignment="1">
      <alignment vertical="center"/>
    </xf>
    <xf numFmtId="177" fontId="6" fillId="0" borderId="2" xfId="0" applyNumberFormat="1" applyFont="1" applyBorder="1" applyAlignment="1">
      <alignment horizontal="center" vertical="center"/>
    </xf>
    <xf numFmtId="176" fontId="1" fillId="0" borderId="2" xfId="0" applyNumberFormat="1" applyFont="1" applyBorder="1" applyAlignment="1">
      <alignment vertical="center"/>
    </xf>
    <xf numFmtId="178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9" fontId="1" fillId="5" borderId="2" xfId="11" applyFont="1" applyFill="1" applyBorder="1" applyAlignment="1">
      <alignment horizontal="center" vertical="center"/>
    </xf>
    <xf numFmtId="177" fontId="2" fillId="3" borderId="2" xfId="0" applyNumberFormat="1" applyFont="1" applyFill="1" applyBorder="1" applyAlignment="1">
      <alignment horizontal="center" vertical="center"/>
    </xf>
    <xf numFmtId="177" fontId="7" fillId="0" borderId="2" xfId="0" applyNumberFormat="1" applyFont="1" applyBorder="1" applyAlignment="1">
      <alignment horizontal="center" vertical="center"/>
    </xf>
    <xf numFmtId="176" fontId="7" fillId="0" borderId="2" xfId="0" applyNumberFormat="1" applyFont="1" applyBorder="1" applyAlignment="1">
      <alignment vertical="center"/>
    </xf>
    <xf numFmtId="178" fontId="7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9" fontId="7" fillId="5" borderId="2" xfId="11" applyFont="1" applyFill="1" applyBorder="1" applyAlignment="1">
      <alignment horizontal="center" vertical="center"/>
    </xf>
    <xf numFmtId="176" fontId="7" fillId="2" borderId="2" xfId="0" applyNumberFormat="1" applyFont="1" applyFill="1" applyBorder="1" applyAlignment="1">
      <alignment vertical="center"/>
    </xf>
    <xf numFmtId="176" fontId="1" fillId="3" borderId="2" xfId="0" applyNumberFormat="1" applyFont="1" applyFill="1" applyBorder="1" applyAlignment="1">
      <alignment vertical="center"/>
    </xf>
    <xf numFmtId="0" fontId="6" fillId="0" borderId="2" xfId="0" applyFont="1" applyBorder="1" applyAlignment="1">
      <alignment vertical="center"/>
    </xf>
    <xf numFmtId="176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2" fillId="0" borderId="2" xfId="0" applyFont="1" applyBorder="1" applyAlignment="1">
      <alignment horizontal="center" vertical="center"/>
    </xf>
    <xf numFmtId="176" fontId="2" fillId="4" borderId="2" xfId="0" applyNumberFormat="1" applyFont="1" applyFill="1" applyBorder="1" applyAlignment="1">
      <alignment vertical="center"/>
    </xf>
    <xf numFmtId="177" fontId="2" fillId="0" borderId="2" xfId="0" applyNumberFormat="1" applyFont="1" applyBorder="1" applyAlignment="1">
      <alignment horizontal="right" vertical="center"/>
    </xf>
    <xf numFmtId="177" fontId="2" fillId="0" borderId="4" xfId="0" applyNumberFormat="1" applyFont="1" applyBorder="1" applyAlignment="1">
      <alignment horizontal="left" vertical="center"/>
    </xf>
    <xf numFmtId="10" fontId="6" fillId="0" borderId="2" xfId="0" applyNumberFormat="1" applyFont="1" applyBorder="1" applyAlignment="1">
      <alignment horizontal="center" vertical="center"/>
    </xf>
    <xf numFmtId="10" fontId="1" fillId="0" borderId="2" xfId="0" applyNumberFormat="1" applyFont="1" applyBorder="1" applyAlignment="1">
      <alignment vertical="center"/>
    </xf>
    <xf numFmtId="10" fontId="6" fillId="0" borderId="2" xfId="0" applyNumberFormat="1" applyFont="1" applyBorder="1" applyAlignment="1">
      <alignment vertical="center"/>
    </xf>
    <xf numFmtId="10" fontId="6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177" fontId="8" fillId="0" borderId="2" xfId="0" applyNumberFormat="1" applyFont="1" applyBorder="1" applyAlignment="1">
      <alignment vertical="center"/>
    </xf>
    <xf numFmtId="177" fontId="9" fillId="0" borderId="2" xfId="0" applyNumberFormat="1" applyFont="1" applyBorder="1" applyAlignment="1">
      <alignment horizontal="center" vertical="center"/>
    </xf>
    <xf numFmtId="176" fontId="8" fillId="0" borderId="2" xfId="0" applyNumberFormat="1" applyFont="1" applyBorder="1" applyAlignment="1">
      <alignment vertical="center"/>
    </xf>
    <xf numFmtId="176" fontId="8" fillId="0" borderId="2" xfId="0" applyNumberFormat="1" applyFont="1" applyBorder="1" applyAlignment="1">
      <alignment horizontal="center" vertical="center"/>
    </xf>
    <xf numFmtId="177" fontId="8" fillId="0" borderId="3" xfId="0" applyNumberFormat="1" applyFont="1" applyBorder="1" applyAlignment="1">
      <alignment horizontal="left" vertical="center"/>
    </xf>
    <xf numFmtId="177" fontId="9" fillId="0" borderId="2" xfId="0" applyNumberFormat="1" applyFont="1" applyBorder="1" applyAlignment="1">
      <alignment vertical="center"/>
    </xf>
    <xf numFmtId="176" fontId="8" fillId="0" borderId="0" xfId="0" applyNumberFormat="1" applyFont="1" applyAlignment="1">
      <alignment vertical="center"/>
    </xf>
    <xf numFmtId="177" fontId="10" fillId="0" borderId="0" xfId="0" applyNumberFormat="1" applyFont="1" applyAlignment="1">
      <alignment horizontal="center" vertical="center"/>
    </xf>
    <xf numFmtId="177" fontId="8" fillId="0" borderId="0" xfId="0" applyNumberFormat="1" applyFont="1" applyAlignment="1">
      <alignment vertical="center"/>
    </xf>
    <xf numFmtId="176" fontId="11" fillId="0" borderId="2" xfId="0" applyNumberFormat="1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177" fontId="8" fillId="0" borderId="2" xfId="0" applyNumberFormat="1" applyFont="1" applyBorder="1" applyAlignment="1">
      <alignment horizontal="center" vertical="center"/>
    </xf>
    <xf numFmtId="9" fontId="8" fillId="0" borderId="2" xfId="11" applyFont="1" applyBorder="1" applyAlignment="1">
      <alignment horizontal="center" vertical="center"/>
    </xf>
    <xf numFmtId="176" fontId="9" fillId="2" borderId="2" xfId="0" applyNumberFormat="1" applyFont="1" applyFill="1" applyBorder="1" applyAlignment="1">
      <alignment vertical="center"/>
    </xf>
    <xf numFmtId="9" fontId="8" fillId="0" borderId="2" xfId="11" applyNumberFormat="1" applyFont="1" applyBorder="1" applyAlignment="1">
      <alignment horizontal="center" vertical="center"/>
    </xf>
    <xf numFmtId="177" fontId="11" fillId="0" borderId="2" xfId="0" applyNumberFormat="1" applyFont="1" applyBorder="1" applyAlignment="1">
      <alignment vertical="center"/>
    </xf>
    <xf numFmtId="176" fontId="11" fillId="3" borderId="2" xfId="0" applyNumberFormat="1" applyFont="1" applyFill="1" applyBorder="1" applyAlignment="1">
      <alignment vertical="center"/>
    </xf>
    <xf numFmtId="176" fontId="11" fillId="0" borderId="2" xfId="0" applyNumberFormat="1" applyFont="1" applyBorder="1" applyAlignment="1">
      <alignment vertical="center"/>
    </xf>
    <xf numFmtId="176" fontId="11" fillId="4" borderId="2" xfId="0" applyNumberFormat="1" applyFont="1" applyFill="1" applyBorder="1" applyAlignment="1">
      <alignment vertical="center"/>
    </xf>
    <xf numFmtId="0" fontId="8" fillId="0" borderId="2" xfId="0" applyFont="1" applyBorder="1" applyAlignment="1">
      <alignment vertical="center"/>
    </xf>
    <xf numFmtId="0" fontId="8" fillId="0" borderId="0" xfId="0" applyFont="1" applyAlignment="1">
      <alignment vertical="center"/>
    </xf>
    <xf numFmtId="179" fontId="11" fillId="0" borderId="2" xfId="0" applyNumberFormat="1" applyFont="1" applyBorder="1" applyAlignment="1">
      <alignment horizontal="center" vertical="center"/>
    </xf>
    <xf numFmtId="179" fontId="9" fillId="0" borderId="2" xfId="0" applyNumberFormat="1" applyFont="1" applyBorder="1" applyAlignment="1">
      <alignment horizontal="center" vertical="center"/>
    </xf>
    <xf numFmtId="176" fontId="9" fillId="0" borderId="2" xfId="0" applyNumberFormat="1" applyFont="1" applyBorder="1" applyAlignment="1">
      <alignment vertical="center"/>
    </xf>
    <xf numFmtId="178" fontId="9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9" fontId="9" fillId="5" borderId="2" xfId="11" applyFont="1" applyFill="1" applyBorder="1" applyAlignment="1">
      <alignment horizontal="center" vertical="center"/>
    </xf>
    <xf numFmtId="177" fontId="8" fillId="6" borderId="2" xfId="0" applyNumberFormat="1" applyFont="1" applyFill="1" applyBorder="1" applyAlignment="1">
      <alignment horizontal="center" vertical="center"/>
    </xf>
    <xf numFmtId="179" fontId="8" fillId="0" borderId="2" xfId="0" applyNumberFormat="1" applyFont="1" applyBorder="1" applyAlignment="1">
      <alignment horizontal="center" vertical="center"/>
    </xf>
    <xf numFmtId="178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9" fontId="8" fillId="5" borderId="2" xfId="11" applyFont="1" applyFill="1" applyBorder="1" applyAlignment="1">
      <alignment horizontal="center" vertical="center"/>
    </xf>
    <xf numFmtId="176" fontId="8" fillId="2" borderId="2" xfId="0" applyNumberFormat="1" applyFont="1" applyFill="1" applyBorder="1" applyAlignment="1">
      <alignment vertical="center"/>
    </xf>
    <xf numFmtId="9" fontId="9" fillId="5" borderId="2" xfId="11" applyNumberFormat="1" applyFont="1" applyFill="1" applyBorder="1" applyAlignment="1">
      <alignment horizontal="center" vertical="center"/>
    </xf>
    <xf numFmtId="0" fontId="11" fillId="0" borderId="2" xfId="0" applyFont="1" applyBorder="1" applyAlignment="1">
      <alignment vertical="center"/>
    </xf>
    <xf numFmtId="176" fontId="11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2" xfId="0" applyFont="1" applyBorder="1" applyAlignment="1">
      <alignment horizontal="center" vertical="center"/>
    </xf>
    <xf numFmtId="177" fontId="8" fillId="0" borderId="2" xfId="0" applyNumberFormat="1" applyFont="1" applyBorder="1" applyAlignment="1">
      <alignment horizontal="right" vertical="center"/>
    </xf>
    <xf numFmtId="177" fontId="11" fillId="0" borderId="7" xfId="0" applyNumberFormat="1" applyFont="1" applyBorder="1" applyAlignment="1">
      <alignment vertical="center"/>
    </xf>
    <xf numFmtId="176" fontId="11" fillId="4" borderId="7" xfId="0" applyNumberFormat="1" applyFont="1" applyFill="1" applyBorder="1" applyAlignment="1">
      <alignment vertical="center"/>
    </xf>
    <xf numFmtId="176" fontId="3" fillId="0" borderId="0" xfId="0" applyNumberFormat="1" applyFont="1" applyAlignment="1">
      <alignment horizontal="center" vertical="center"/>
    </xf>
    <xf numFmtId="177" fontId="8" fillId="0" borderId="4" xfId="0" applyNumberFormat="1" applyFont="1" applyBorder="1" applyAlignment="1">
      <alignment horizontal="left" vertical="center"/>
    </xf>
    <xf numFmtId="176" fontId="8" fillId="0" borderId="0" xfId="0" applyNumberFormat="1" applyFont="1" applyAlignment="1">
      <alignment horizontal="left" vertical="center"/>
    </xf>
    <xf numFmtId="177" fontId="8" fillId="0" borderId="0" xfId="0" applyNumberFormat="1" applyFont="1" applyAlignment="1">
      <alignment horizontal="center" vertical="center"/>
    </xf>
    <xf numFmtId="176" fontId="10" fillId="0" borderId="0" xfId="0" applyNumberFormat="1" applyFont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/>
    </xf>
    <xf numFmtId="10" fontId="11" fillId="0" borderId="0" xfId="0" applyNumberFormat="1" applyFont="1" applyBorder="1" applyAlignment="1">
      <alignment horizontal="center" vertical="center"/>
    </xf>
    <xf numFmtId="176" fontId="11" fillId="0" borderId="3" xfId="0" applyNumberFormat="1" applyFont="1" applyBorder="1" applyAlignment="1">
      <alignment horizontal="center" vertical="center"/>
    </xf>
    <xf numFmtId="10" fontId="11" fillId="0" borderId="3" xfId="0" applyNumberFormat="1" applyFont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176" fontId="8" fillId="0" borderId="3" xfId="0" applyNumberFormat="1" applyFont="1" applyBorder="1" applyAlignment="1">
      <alignment horizontal="center" vertical="center"/>
    </xf>
    <xf numFmtId="10" fontId="9" fillId="0" borderId="3" xfId="0" applyNumberFormat="1" applyFont="1" applyBorder="1" applyAlignment="1">
      <alignment vertical="center"/>
    </xf>
    <xf numFmtId="0" fontId="1" fillId="0" borderId="2" xfId="0" applyFont="1" applyBorder="1" applyAlignment="1">
      <alignment vertical="center"/>
    </xf>
    <xf numFmtId="10" fontId="9" fillId="0" borderId="3" xfId="0" applyNumberFormat="1" applyFont="1" applyBorder="1" applyAlignment="1">
      <alignment horizontal="left" vertical="center"/>
    </xf>
    <xf numFmtId="176" fontId="8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vertical="center"/>
    </xf>
    <xf numFmtId="10" fontId="8" fillId="0" borderId="3" xfId="0" applyNumberFormat="1" applyFont="1" applyBorder="1" applyAlignment="1">
      <alignment horizontal="left" vertical="center"/>
    </xf>
    <xf numFmtId="176" fontId="12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10" fontId="12" fillId="0" borderId="3" xfId="0" applyNumberFormat="1" applyFont="1" applyBorder="1" applyAlignment="1">
      <alignment vertical="center"/>
    </xf>
    <xf numFmtId="177" fontId="8" fillId="0" borderId="2" xfId="0" applyNumberFormat="1" applyFont="1" applyBorder="1" applyAlignment="1">
      <alignment horizontal="left" vertical="center"/>
    </xf>
    <xf numFmtId="10" fontId="11" fillId="0" borderId="0" xfId="0" applyNumberFormat="1" applyFont="1" applyAlignment="1">
      <alignment vertical="center"/>
    </xf>
    <xf numFmtId="10" fontId="8" fillId="0" borderId="0" xfId="0" applyNumberFormat="1" applyFon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7"/>
  <sheetViews>
    <sheetView tabSelected="1" topLeftCell="A28" workbookViewId="0">
      <selection activeCell="K42" sqref="K42"/>
    </sheetView>
  </sheetViews>
  <sheetFormatPr defaultColWidth="9" defaultRowHeight="12"/>
  <cols>
    <col min="1" max="1" width="10.75" style="2" customWidth="1"/>
    <col min="2" max="2" width="12.25" style="3" customWidth="1"/>
    <col min="3" max="3" width="6" style="3" customWidth="1"/>
    <col min="4" max="4" width="13.375" style="3" customWidth="1"/>
    <col min="5" max="5" width="6" style="3" customWidth="1"/>
    <col min="6" max="6" width="10.5" style="3" customWidth="1"/>
    <col min="7" max="7" width="14.125" style="3" customWidth="1"/>
    <col min="8" max="8" width="9.625" style="3" customWidth="1"/>
    <col min="9" max="9" width="15.25" style="4" customWidth="1"/>
    <col min="10" max="10" width="6.5" style="3" customWidth="1"/>
    <col min="11" max="11" width="31.25" style="5" customWidth="1"/>
    <col min="12" max="12" width="12.25" style="5" customWidth="1"/>
    <col min="13" max="13" width="29.625" style="49" customWidth="1"/>
    <col min="14" max="16384" width="9" style="5"/>
  </cols>
  <sheetData>
    <row r="1" ht="21.95" customHeight="1" spans="1:11">
      <c r="A1" s="6" t="s">
        <v>0</v>
      </c>
      <c r="B1" s="6"/>
      <c r="C1" s="6"/>
      <c r="D1" s="6"/>
      <c r="E1" s="6"/>
      <c r="F1" s="6"/>
      <c r="G1" s="6"/>
      <c r="H1" s="6"/>
      <c r="I1" s="6"/>
      <c r="J1" s="92"/>
      <c r="K1" s="57"/>
    </row>
    <row r="2" ht="18" customHeight="1" spans="1:11">
      <c r="A2" s="50" t="s">
        <v>1</v>
      </c>
      <c r="B2" s="51" t="s">
        <v>2</v>
      </c>
      <c r="C2" s="52" t="s">
        <v>3</v>
      </c>
      <c r="D2" s="52">
        <v>3127929</v>
      </c>
      <c r="E2" s="53" t="s">
        <v>4</v>
      </c>
      <c r="F2" s="52" t="s">
        <v>5</v>
      </c>
      <c r="G2" s="53" t="s">
        <v>6</v>
      </c>
      <c r="H2" s="54" t="s">
        <v>7</v>
      </c>
      <c r="I2" s="93"/>
      <c r="J2" s="94"/>
      <c r="K2" s="95" t="s">
        <v>8</v>
      </c>
    </row>
    <row r="3" ht="18" customHeight="1" spans="1:11">
      <c r="A3" s="50" t="s">
        <v>9</v>
      </c>
      <c r="B3" s="55"/>
      <c r="C3" s="52" t="s">
        <v>10</v>
      </c>
      <c r="D3" s="52"/>
      <c r="E3" s="56"/>
      <c r="F3" s="56"/>
      <c r="G3" s="56"/>
      <c r="H3" s="57"/>
      <c r="I3" s="57"/>
      <c r="J3" s="96"/>
      <c r="K3" s="95" t="s">
        <v>11</v>
      </c>
    </row>
    <row r="4" ht="18" customHeight="1" spans="1:11">
      <c r="A4" s="58" t="s">
        <v>12</v>
      </c>
      <c r="B4" s="56"/>
      <c r="C4" s="56"/>
      <c r="D4" s="56"/>
      <c r="E4" s="56"/>
      <c r="F4" s="56"/>
      <c r="G4" s="56"/>
      <c r="H4" s="57"/>
      <c r="I4" s="57"/>
      <c r="J4" s="96"/>
      <c r="K4" s="57"/>
    </row>
    <row r="5" ht="18" customHeight="1" spans="1:11">
      <c r="A5" s="59" t="s">
        <v>13</v>
      </c>
      <c r="B5" s="59" t="s">
        <v>14</v>
      </c>
      <c r="C5" s="59" t="s">
        <v>15</v>
      </c>
      <c r="D5" s="59"/>
      <c r="E5" s="59" t="s">
        <v>16</v>
      </c>
      <c r="F5" s="59"/>
      <c r="G5" s="59" t="s">
        <v>17</v>
      </c>
      <c r="H5" s="60" t="s">
        <v>18</v>
      </c>
      <c r="I5" s="97"/>
      <c r="J5" s="98"/>
      <c r="K5" s="71"/>
    </row>
    <row r="6" ht="18" customHeight="1" spans="1:11">
      <c r="A6" s="59"/>
      <c r="B6" s="59"/>
      <c r="C6" s="59" t="s">
        <v>19</v>
      </c>
      <c r="D6" s="59" t="s">
        <v>20</v>
      </c>
      <c r="E6" s="59" t="s">
        <v>19</v>
      </c>
      <c r="F6" s="59" t="s">
        <v>20</v>
      </c>
      <c r="G6" s="59"/>
      <c r="H6" s="61" t="s">
        <v>21</v>
      </c>
      <c r="I6" s="61" t="s">
        <v>22</v>
      </c>
      <c r="J6" s="99" t="s">
        <v>23</v>
      </c>
      <c r="K6" s="71"/>
    </row>
    <row r="7" ht="18" customHeight="1" spans="1:11">
      <c r="A7" s="62" t="s">
        <v>24</v>
      </c>
      <c r="B7" s="52">
        <f t="shared" ref="B7:B11" si="0">G7/(1+C7+E7)</f>
        <v>1477650.78899083</v>
      </c>
      <c r="C7" s="63">
        <v>0.02</v>
      </c>
      <c r="D7" s="52">
        <f t="shared" ref="D7:D11" si="1">G7/(1+E7+C7)*C7</f>
        <v>29553.0157798165</v>
      </c>
      <c r="E7" s="63">
        <v>0.07</v>
      </c>
      <c r="F7" s="52">
        <f t="shared" ref="F7:F11" si="2">G7/(1+C7+E7)*E7</f>
        <v>103435.555229358</v>
      </c>
      <c r="G7" s="64">
        <v>1610639.36</v>
      </c>
      <c r="H7" s="62" t="s">
        <v>25</v>
      </c>
      <c r="I7" s="53"/>
      <c r="J7" s="81" t="s">
        <v>26</v>
      </c>
      <c r="K7" s="71"/>
    </row>
    <row r="8" ht="18" customHeight="1" spans="1:11">
      <c r="A8" s="62">
        <v>44585</v>
      </c>
      <c r="B8" s="52">
        <f t="shared" si="0"/>
        <v>969082.568807339</v>
      </c>
      <c r="C8" s="63">
        <v>0.02</v>
      </c>
      <c r="D8" s="52">
        <f t="shared" si="1"/>
        <v>19381.6513761468</v>
      </c>
      <c r="E8" s="65">
        <v>0.07</v>
      </c>
      <c r="F8" s="52">
        <f t="shared" si="2"/>
        <v>67835.7798165138</v>
      </c>
      <c r="G8" s="64">
        <v>1056300</v>
      </c>
      <c r="H8" s="62">
        <v>44590</v>
      </c>
      <c r="I8" s="53">
        <v>1056300</v>
      </c>
      <c r="J8" s="53" t="s">
        <v>27</v>
      </c>
      <c r="K8" s="71">
        <f>F12/0.16*1.16</f>
        <v>1241717.17908257</v>
      </c>
    </row>
    <row r="9" ht="18" customHeight="1" spans="1:11">
      <c r="A9" s="62"/>
      <c r="B9" s="52">
        <f t="shared" si="0"/>
        <v>0</v>
      </c>
      <c r="C9" s="63"/>
      <c r="D9" s="52">
        <f t="shared" si="1"/>
        <v>0</v>
      </c>
      <c r="E9" s="63">
        <v>0.08</v>
      </c>
      <c r="F9" s="52">
        <f t="shared" si="2"/>
        <v>0</v>
      </c>
      <c r="G9" s="64"/>
      <c r="H9" s="62"/>
      <c r="I9" s="53"/>
      <c r="J9" s="53"/>
      <c r="K9" s="71"/>
    </row>
    <row r="10" ht="18" customHeight="1" spans="1:11">
      <c r="A10" s="62"/>
      <c r="B10" s="52">
        <f t="shared" si="0"/>
        <v>0</v>
      </c>
      <c r="C10" s="63"/>
      <c r="D10" s="52">
        <f t="shared" si="1"/>
        <v>0</v>
      </c>
      <c r="E10" s="63">
        <v>0.08</v>
      </c>
      <c r="F10" s="52">
        <f t="shared" si="2"/>
        <v>0</v>
      </c>
      <c r="G10" s="64"/>
      <c r="H10" s="62"/>
      <c r="I10" s="53"/>
      <c r="J10" s="53"/>
      <c r="K10" s="71"/>
    </row>
    <row r="11" ht="18" customHeight="1" spans="1:11">
      <c r="A11" s="62"/>
      <c r="B11" s="52">
        <f t="shared" si="0"/>
        <v>0</v>
      </c>
      <c r="C11" s="63"/>
      <c r="D11" s="52">
        <f t="shared" si="1"/>
        <v>0</v>
      </c>
      <c r="E11" s="63">
        <v>0.08</v>
      </c>
      <c r="F11" s="52">
        <f t="shared" si="2"/>
        <v>0</v>
      </c>
      <c r="G11" s="64"/>
      <c r="H11" s="62"/>
      <c r="I11" s="53"/>
      <c r="J11" s="53"/>
      <c r="K11" s="71">
        <f>G7*0.097</f>
        <v>156232.01792</v>
      </c>
    </row>
    <row r="12" ht="18" customHeight="1" spans="1:11">
      <c r="A12" s="66" t="s">
        <v>28</v>
      </c>
      <c r="B12" s="67">
        <f t="shared" ref="B12:G12" si="3">SUM(B7:B11)</f>
        <v>2446733.35779817</v>
      </c>
      <c r="C12" s="68"/>
      <c r="D12" s="68">
        <f t="shared" si="3"/>
        <v>48934.6671559633</v>
      </c>
      <c r="E12" s="68"/>
      <c r="F12" s="69">
        <f t="shared" si="3"/>
        <v>171271.335045872</v>
      </c>
      <c r="G12" s="68">
        <f t="shared" si="3"/>
        <v>2666939.36</v>
      </c>
      <c r="H12" s="70"/>
      <c r="I12" s="68">
        <f>SUM(I7:I11)</f>
        <v>1056300</v>
      </c>
      <c r="J12" s="52"/>
      <c r="K12" s="56"/>
    </row>
    <row r="13" ht="18" customHeight="1" spans="1:11">
      <c r="A13" s="58" t="s">
        <v>29</v>
      </c>
      <c r="B13" s="71"/>
      <c r="C13" s="56"/>
      <c r="D13" s="56"/>
      <c r="E13" s="56"/>
      <c r="F13" s="56"/>
      <c r="G13" s="56"/>
      <c r="H13" s="56"/>
      <c r="I13" s="56"/>
      <c r="J13" s="56"/>
      <c r="K13" s="100"/>
    </row>
    <row r="14" s="1" customFormat="1" ht="18" customHeight="1" spans="1:15">
      <c r="A14" s="72" t="s">
        <v>30</v>
      </c>
      <c r="B14" s="59" t="s">
        <v>31</v>
      </c>
      <c r="C14" s="59" t="s">
        <v>32</v>
      </c>
      <c r="D14" s="59" t="s">
        <v>33</v>
      </c>
      <c r="E14" s="59" t="s">
        <v>19</v>
      </c>
      <c r="F14" s="59" t="s">
        <v>34</v>
      </c>
      <c r="G14" s="59" t="s">
        <v>17</v>
      </c>
      <c r="H14" s="59" t="s">
        <v>35</v>
      </c>
      <c r="I14" s="101" t="s">
        <v>36</v>
      </c>
      <c r="J14" s="101" t="s">
        <v>23</v>
      </c>
      <c r="K14" s="102" t="s">
        <v>37</v>
      </c>
      <c r="L14" s="103" t="s">
        <v>38</v>
      </c>
      <c r="M14" s="103" t="s">
        <v>39</v>
      </c>
      <c r="N14" s="103" t="s">
        <v>40</v>
      </c>
      <c r="O14" s="103" t="s">
        <v>41</v>
      </c>
    </row>
    <row r="15" s="1" customFormat="1" ht="18" customHeight="1" spans="1:15">
      <c r="A15" s="73" t="s">
        <v>25</v>
      </c>
      <c r="B15" s="74">
        <f t="shared" ref="B15:B36" si="4">ROUND(G15/(1+E15),2)</f>
        <v>599792.04</v>
      </c>
      <c r="C15" s="75">
        <v>1</v>
      </c>
      <c r="D15" s="76" t="s">
        <v>42</v>
      </c>
      <c r="E15" s="77">
        <v>0.13</v>
      </c>
      <c r="F15" s="74">
        <f t="shared" ref="F15:F36" si="5">ROUND(G15/(1+E15)*E15,2)</f>
        <v>77972.96</v>
      </c>
      <c r="G15" s="64">
        <f>677765</f>
        <v>677765</v>
      </c>
      <c r="H15" s="62"/>
      <c r="I15" s="53"/>
      <c r="J15" s="104"/>
      <c r="K15" s="105" t="s">
        <v>43</v>
      </c>
      <c r="L15" s="62"/>
      <c r="M15" s="28"/>
      <c r="N15" s="106"/>
      <c r="O15" s="106"/>
    </row>
    <row r="16" s="1" customFormat="1" ht="18" customHeight="1" spans="1:15">
      <c r="A16" s="73" t="s">
        <v>25</v>
      </c>
      <c r="B16" s="74">
        <f t="shared" si="4"/>
        <v>164070.8</v>
      </c>
      <c r="C16" s="75">
        <v>1</v>
      </c>
      <c r="D16" s="76" t="s">
        <v>42</v>
      </c>
      <c r="E16" s="77">
        <v>0.13</v>
      </c>
      <c r="F16" s="74">
        <f t="shared" si="5"/>
        <v>21329.2</v>
      </c>
      <c r="G16" s="64">
        <f>79800+52800*2</f>
        <v>185400</v>
      </c>
      <c r="H16" s="78"/>
      <c r="I16" s="53"/>
      <c r="J16" s="104"/>
      <c r="K16" s="105" t="s">
        <v>44</v>
      </c>
      <c r="L16" s="78"/>
      <c r="M16" s="28"/>
      <c r="N16" s="106"/>
      <c r="O16" s="106"/>
    </row>
    <row r="17" s="1" customFormat="1" ht="18" customHeight="1" spans="1:15">
      <c r="A17" s="73" t="s">
        <v>25</v>
      </c>
      <c r="B17" s="74">
        <f t="shared" si="4"/>
        <v>7964.6</v>
      </c>
      <c r="C17" s="75">
        <v>1</v>
      </c>
      <c r="D17" s="76" t="s">
        <v>42</v>
      </c>
      <c r="E17" s="77">
        <v>0.13</v>
      </c>
      <c r="F17" s="74">
        <f t="shared" si="5"/>
        <v>1035.4</v>
      </c>
      <c r="G17" s="64">
        <v>9000</v>
      </c>
      <c r="H17" s="62"/>
      <c r="I17" s="53"/>
      <c r="J17" s="104"/>
      <c r="K17" s="107" t="s">
        <v>45</v>
      </c>
      <c r="L17" s="78"/>
      <c r="M17" s="28"/>
      <c r="N17" s="106"/>
      <c r="O17" s="106"/>
    </row>
    <row r="18" s="1" customFormat="1" ht="18" customHeight="1" spans="1:15">
      <c r="A18" s="73" t="s">
        <v>25</v>
      </c>
      <c r="B18" s="74">
        <f t="shared" si="4"/>
        <v>4631.13</v>
      </c>
      <c r="C18" s="75">
        <v>1</v>
      </c>
      <c r="D18" s="76" t="s">
        <v>42</v>
      </c>
      <c r="E18" s="77">
        <v>0.13</v>
      </c>
      <c r="F18" s="74">
        <f t="shared" si="5"/>
        <v>602.05</v>
      </c>
      <c r="G18" s="64">
        <f>2160+1574+1400+10.5+88.68</f>
        <v>5233.18</v>
      </c>
      <c r="H18" s="62"/>
      <c r="I18" s="53"/>
      <c r="J18" s="108"/>
      <c r="K18" s="109"/>
      <c r="L18" s="62" t="s">
        <v>46</v>
      </c>
      <c r="M18" s="28"/>
      <c r="N18" s="106"/>
      <c r="O18" s="106"/>
    </row>
    <row r="19" s="1" customFormat="1" ht="18" customHeight="1" spans="1:15">
      <c r="A19" s="73" t="s">
        <v>25</v>
      </c>
      <c r="B19" s="74">
        <f t="shared" si="4"/>
        <v>10728.58</v>
      </c>
      <c r="C19" s="75">
        <v>1</v>
      </c>
      <c r="D19" s="76" t="s">
        <v>42</v>
      </c>
      <c r="E19" s="77">
        <v>0.06</v>
      </c>
      <c r="F19" s="74">
        <f t="shared" si="5"/>
        <v>643.71</v>
      </c>
      <c r="G19" s="64">
        <v>11372.29</v>
      </c>
      <c r="H19" s="62"/>
      <c r="I19" s="53"/>
      <c r="J19" s="104"/>
      <c r="K19" s="107" t="s">
        <v>47</v>
      </c>
      <c r="L19" s="62" t="s">
        <v>48</v>
      </c>
      <c r="M19" s="28"/>
      <c r="N19" s="106"/>
      <c r="O19" s="106"/>
    </row>
    <row r="20" s="1" customFormat="1" ht="18" customHeight="1" spans="1:15">
      <c r="A20" s="73" t="s">
        <v>25</v>
      </c>
      <c r="B20" s="74">
        <f t="shared" si="4"/>
        <v>4213.72</v>
      </c>
      <c r="C20" s="75">
        <v>2</v>
      </c>
      <c r="D20" s="76" t="s">
        <v>42</v>
      </c>
      <c r="E20" s="77">
        <v>0.13</v>
      </c>
      <c r="F20" s="74">
        <f t="shared" si="5"/>
        <v>547.78</v>
      </c>
      <c r="G20" s="64">
        <v>4761.5</v>
      </c>
      <c r="H20" s="62"/>
      <c r="I20" s="53"/>
      <c r="J20" s="104"/>
      <c r="K20" s="107" t="s">
        <v>49</v>
      </c>
      <c r="L20" s="62"/>
      <c r="M20" s="28"/>
      <c r="N20" s="106"/>
      <c r="O20" s="106"/>
    </row>
    <row r="21" s="1" customFormat="1" ht="18" customHeight="1" spans="1:15">
      <c r="A21" s="73" t="s">
        <v>25</v>
      </c>
      <c r="B21" s="74">
        <f t="shared" si="4"/>
        <v>4827.59</v>
      </c>
      <c r="C21" s="75">
        <v>1</v>
      </c>
      <c r="D21" s="76" t="s">
        <v>42</v>
      </c>
      <c r="E21" s="77">
        <v>0.16</v>
      </c>
      <c r="F21" s="74">
        <f t="shared" si="5"/>
        <v>772.41</v>
      </c>
      <c r="G21" s="64">
        <v>5600</v>
      </c>
      <c r="H21" s="62"/>
      <c r="I21" s="53"/>
      <c r="J21" s="104"/>
      <c r="K21" s="107" t="s">
        <v>50</v>
      </c>
      <c r="L21" s="62" t="s">
        <v>51</v>
      </c>
      <c r="M21" s="28"/>
      <c r="N21" s="106"/>
      <c r="O21" s="106"/>
    </row>
    <row r="22" s="1" customFormat="1" ht="18" customHeight="1" spans="1:15">
      <c r="A22" s="73" t="s">
        <v>25</v>
      </c>
      <c r="B22" s="74">
        <f t="shared" si="4"/>
        <v>813.27</v>
      </c>
      <c r="C22" s="75">
        <v>2</v>
      </c>
      <c r="D22" s="76" t="s">
        <v>42</v>
      </c>
      <c r="E22" s="77">
        <v>0.13</v>
      </c>
      <c r="F22" s="74">
        <f t="shared" si="5"/>
        <v>105.73</v>
      </c>
      <c r="G22" s="64">
        <v>919</v>
      </c>
      <c r="H22" s="62"/>
      <c r="I22" s="53"/>
      <c r="J22" s="104"/>
      <c r="K22" s="107"/>
      <c r="L22" s="62"/>
      <c r="M22" s="28"/>
      <c r="N22" s="106"/>
      <c r="O22" s="106"/>
    </row>
    <row r="23" s="1" customFormat="1" ht="18" customHeight="1" spans="1:15">
      <c r="A23" s="73" t="s">
        <v>25</v>
      </c>
      <c r="B23" s="74">
        <f t="shared" si="4"/>
        <v>1643.36</v>
      </c>
      <c r="C23" s="75">
        <v>2</v>
      </c>
      <c r="D23" s="76" t="s">
        <v>42</v>
      </c>
      <c r="E23" s="77">
        <v>0.13</v>
      </c>
      <c r="F23" s="74">
        <f t="shared" si="5"/>
        <v>213.64</v>
      </c>
      <c r="G23" s="64">
        <f>729+1128</f>
        <v>1857</v>
      </c>
      <c r="H23" s="62"/>
      <c r="I23" s="53"/>
      <c r="J23" s="104"/>
      <c r="K23" s="107"/>
      <c r="L23" s="62" t="s">
        <v>51</v>
      </c>
      <c r="M23" s="28"/>
      <c r="N23" s="106"/>
      <c r="O23" s="106"/>
    </row>
    <row r="24" s="1" customFormat="1" ht="18" customHeight="1" spans="1:15">
      <c r="A24" s="73" t="s">
        <v>25</v>
      </c>
      <c r="B24" s="74">
        <f t="shared" si="4"/>
        <v>1017.24</v>
      </c>
      <c r="C24" s="75">
        <v>1</v>
      </c>
      <c r="D24" s="76" t="s">
        <v>42</v>
      </c>
      <c r="E24" s="77">
        <v>0.16</v>
      </c>
      <c r="F24" s="74">
        <f t="shared" si="5"/>
        <v>162.76</v>
      </c>
      <c r="G24" s="64">
        <v>1180</v>
      </c>
      <c r="H24" s="62"/>
      <c r="I24" s="53"/>
      <c r="J24" s="104"/>
      <c r="K24" s="107" t="s">
        <v>52</v>
      </c>
      <c r="L24" s="62"/>
      <c r="M24" s="28"/>
      <c r="N24" s="106"/>
      <c r="O24" s="106"/>
    </row>
    <row r="25" s="1" customFormat="1" ht="18" customHeight="1" spans="1:15">
      <c r="A25" s="73" t="s">
        <v>25</v>
      </c>
      <c r="B25" s="74">
        <f t="shared" si="4"/>
        <v>300000</v>
      </c>
      <c r="C25" s="75">
        <v>3</v>
      </c>
      <c r="D25" s="76" t="s">
        <v>53</v>
      </c>
      <c r="E25" s="77">
        <v>0</v>
      </c>
      <c r="F25" s="74">
        <f t="shared" si="5"/>
        <v>0</v>
      </c>
      <c r="G25" s="64">
        <v>300000</v>
      </c>
      <c r="H25" s="62"/>
      <c r="I25" s="53"/>
      <c r="J25" s="104"/>
      <c r="K25" s="110" t="s">
        <v>54</v>
      </c>
      <c r="L25" s="62" t="s">
        <v>51</v>
      </c>
      <c r="M25" s="28"/>
      <c r="N25" s="106"/>
      <c r="O25" s="106"/>
    </row>
    <row r="26" s="1" customFormat="1" ht="18" customHeight="1" spans="1:15">
      <c r="A26" s="73" t="s">
        <v>25</v>
      </c>
      <c r="B26" s="74">
        <f t="shared" si="4"/>
        <v>200000</v>
      </c>
      <c r="C26" s="75">
        <v>2</v>
      </c>
      <c r="D26" s="76" t="s">
        <v>53</v>
      </c>
      <c r="E26" s="77">
        <v>0</v>
      </c>
      <c r="F26" s="74">
        <f t="shared" si="5"/>
        <v>0</v>
      </c>
      <c r="G26" s="64">
        <v>200000</v>
      </c>
      <c r="H26" s="62"/>
      <c r="I26" s="53"/>
      <c r="J26" s="104"/>
      <c r="K26" s="110" t="s">
        <v>54</v>
      </c>
      <c r="L26" s="62" t="s">
        <v>55</v>
      </c>
      <c r="M26" s="76"/>
      <c r="N26" s="111"/>
      <c r="O26" s="111"/>
    </row>
    <row r="27" s="1" customFormat="1" ht="18" customHeight="1" spans="1:15">
      <c r="A27" s="73" t="s">
        <v>25</v>
      </c>
      <c r="B27" s="74">
        <f t="shared" si="4"/>
        <v>10000</v>
      </c>
      <c r="C27" s="75">
        <v>10</v>
      </c>
      <c r="D27" s="76" t="s">
        <v>53</v>
      </c>
      <c r="E27" s="77">
        <v>0</v>
      </c>
      <c r="F27" s="74">
        <f t="shared" si="5"/>
        <v>0</v>
      </c>
      <c r="G27" s="64">
        <v>10000</v>
      </c>
      <c r="H27" s="62"/>
      <c r="I27" s="53"/>
      <c r="J27" s="104"/>
      <c r="K27" s="107"/>
      <c r="L27" s="62" t="s">
        <v>56</v>
      </c>
      <c r="M27" s="76"/>
      <c r="N27" s="111"/>
      <c r="O27" s="111"/>
    </row>
    <row r="28" s="1" customFormat="1" ht="18" customHeight="1" spans="1:15">
      <c r="A28" s="73" t="s">
        <v>25</v>
      </c>
      <c r="B28" s="74">
        <f t="shared" si="4"/>
        <v>29852.5</v>
      </c>
      <c r="C28" s="75">
        <v>3</v>
      </c>
      <c r="D28" s="76" t="s">
        <v>53</v>
      </c>
      <c r="E28" s="77">
        <v>0</v>
      </c>
      <c r="F28" s="74">
        <f t="shared" si="5"/>
        <v>0</v>
      </c>
      <c r="G28" s="64">
        <f>9975+9938.75*2</f>
        <v>29852.5</v>
      </c>
      <c r="H28" s="62"/>
      <c r="I28" s="53"/>
      <c r="J28" s="104"/>
      <c r="K28" s="107"/>
      <c r="L28" s="62" t="s">
        <v>56</v>
      </c>
      <c r="M28" s="76"/>
      <c r="N28" s="111"/>
      <c r="O28" s="111"/>
    </row>
    <row r="29" s="1" customFormat="1" ht="18" customHeight="1" spans="1:15">
      <c r="A29" s="79" t="s">
        <v>25</v>
      </c>
      <c r="B29" s="52">
        <f t="shared" si="4"/>
        <v>4634</v>
      </c>
      <c r="C29" s="80">
        <v>49</v>
      </c>
      <c r="D29" s="81" t="s">
        <v>53</v>
      </c>
      <c r="E29" s="82">
        <v>0</v>
      </c>
      <c r="F29" s="52">
        <f t="shared" si="5"/>
        <v>0</v>
      </c>
      <c r="G29" s="83">
        <v>4634</v>
      </c>
      <c r="H29" s="62"/>
      <c r="I29" s="53"/>
      <c r="J29" s="104"/>
      <c r="K29" s="112"/>
      <c r="L29" s="62" t="s">
        <v>57</v>
      </c>
      <c r="M29" s="76"/>
      <c r="N29" s="111"/>
      <c r="O29" s="111"/>
    </row>
    <row r="30" s="1" customFormat="1" ht="18" customHeight="1" spans="1:15">
      <c r="A30" s="73" t="s">
        <v>25</v>
      </c>
      <c r="B30" s="74">
        <f t="shared" si="4"/>
        <v>40000</v>
      </c>
      <c r="C30" s="75">
        <v>4</v>
      </c>
      <c r="D30" s="76" t="s">
        <v>53</v>
      </c>
      <c r="E30" s="77">
        <v>0</v>
      </c>
      <c r="F30" s="74">
        <f t="shared" si="5"/>
        <v>0</v>
      </c>
      <c r="G30" s="64">
        <v>40000</v>
      </c>
      <c r="H30" s="62"/>
      <c r="I30" s="53"/>
      <c r="J30" s="104"/>
      <c r="K30" s="107"/>
      <c r="L30" s="62" t="s">
        <v>58</v>
      </c>
      <c r="M30" s="76"/>
      <c r="N30" s="111"/>
      <c r="O30" s="111"/>
    </row>
    <row r="31" s="1" customFormat="1" ht="18" customHeight="1" spans="1:15">
      <c r="A31" s="73" t="s">
        <v>25</v>
      </c>
      <c r="B31" s="74">
        <f t="shared" si="4"/>
        <v>10000</v>
      </c>
      <c r="C31" s="75">
        <v>1</v>
      </c>
      <c r="D31" s="76" t="s">
        <v>53</v>
      </c>
      <c r="E31" s="77">
        <v>0</v>
      </c>
      <c r="F31" s="74">
        <f t="shared" si="5"/>
        <v>0</v>
      </c>
      <c r="G31" s="64">
        <v>10000</v>
      </c>
      <c r="H31" s="62"/>
      <c r="I31" s="53"/>
      <c r="J31" s="104"/>
      <c r="K31" s="107"/>
      <c r="L31" s="62" t="s">
        <v>59</v>
      </c>
      <c r="M31" s="76"/>
      <c r="N31" s="111"/>
      <c r="O31" s="111"/>
    </row>
    <row r="32" s="1" customFormat="1" ht="18" customHeight="1" spans="1:15">
      <c r="A32" s="73" t="s">
        <v>25</v>
      </c>
      <c r="B32" s="74">
        <f t="shared" si="4"/>
        <v>2085</v>
      </c>
      <c r="C32" s="75">
        <v>25</v>
      </c>
      <c r="D32" s="76" t="s">
        <v>53</v>
      </c>
      <c r="E32" s="77">
        <v>0</v>
      </c>
      <c r="F32" s="74">
        <f t="shared" si="5"/>
        <v>0</v>
      </c>
      <c r="G32" s="64">
        <f>1680+405</f>
        <v>2085</v>
      </c>
      <c r="H32" s="62"/>
      <c r="I32" s="53"/>
      <c r="J32" s="104"/>
      <c r="K32" s="107"/>
      <c r="L32" s="62" t="s">
        <v>57</v>
      </c>
      <c r="M32" s="76"/>
      <c r="N32" s="111"/>
      <c r="O32" s="111"/>
    </row>
    <row r="33" s="1" customFormat="1" ht="18" customHeight="1" spans="1:15">
      <c r="A33" s="73" t="s">
        <v>25</v>
      </c>
      <c r="B33" s="74">
        <f t="shared" si="4"/>
        <v>645</v>
      </c>
      <c r="C33" s="75">
        <v>30</v>
      </c>
      <c r="D33" s="76" t="s">
        <v>53</v>
      </c>
      <c r="E33" s="77">
        <v>0</v>
      </c>
      <c r="F33" s="74">
        <f t="shared" si="5"/>
        <v>0</v>
      </c>
      <c r="G33" s="64">
        <v>645</v>
      </c>
      <c r="H33" s="62"/>
      <c r="I33" s="53"/>
      <c r="J33" s="104"/>
      <c r="K33" s="107"/>
      <c r="L33" s="62" t="s">
        <v>60</v>
      </c>
      <c r="M33" s="76"/>
      <c r="N33" s="111"/>
      <c r="O33" s="111"/>
    </row>
    <row r="34" s="1" customFormat="1" ht="18" customHeight="1" spans="1:15">
      <c r="A34" s="73">
        <v>44562</v>
      </c>
      <c r="B34" s="74">
        <f t="shared" ref="B34:B43" si="6">ROUND(G34/(1+E34),2)</f>
        <v>871559.63</v>
      </c>
      <c r="C34" s="75">
        <v>9</v>
      </c>
      <c r="D34" s="76" t="s">
        <v>42</v>
      </c>
      <c r="E34" s="84">
        <v>0.09</v>
      </c>
      <c r="F34" s="74">
        <f t="shared" ref="F34:F46" si="7">ROUND(G34/(1+E34)*E34,2)</f>
        <v>78440.37</v>
      </c>
      <c r="G34" s="64">
        <f>108000*8+86000</f>
        <v>950000</v>
      </c>
      <c r="H34" s="62"/>
      <c r="I34" s="53"/>
      <c r="J34" s="104"/>
      <c r="K34" s="107" t="s">
        <v>61</v>
      </c>
      <c r="L34" s="62" t="s">
        <v>62</v>
      </c>
      <c r="M34" s="76" t="s">
        <v>63</v>
      </c>
      <c r="N34" s="111"/>
      <c r="O34" s="111"/>
    </row>
    <row r="35" s="1" customFormat="1" ht="18" customHeight="1" spans="1:15">
      <c r="A35" s="73"/>
      <c r="B35" s="74">
        <f t="shared" si="6"/>
        <v>0</v>
      </c>
      <c r="C35" s="75"/>
      <c r="D35" s="76"/>
      <c r="E35" s="84">
        <v>0.09</v>
      </c>
      <c r="F35" s="74">
        <f t="shared" si="7"/>
        <v>0</v>
      </c>
      <c r="G35" s="64"/>
      <c r="H35" s="62"/>
      <c r="I35" s="53"/>
      <c r="J35" s="104"/>
      <c r="K35" s="107"/>
      <c r="L35" s="62"/>
      <c r="M35" s="76"/>
      <c r="N35" s="111"/>
      <c r="O35" s="111"/>
    </row>
    <row r="36" s="1" customFormat="1" ht="18" customHeight="1" spans="1:15">
      <c r="A36" s="73"/>
      <c r="B36" s="74">
        <f t="shared" si="6"/>
        <v>0</v>
      </c>
      <c r="C36" s="75"/>
      <c r="D36" s="76"/>
      <c r="E36" s="77"/>
      <c r="F36" s="74">
        <f t="shared" si="7"/>
        <v>0</v>
      </c>
      <c r="G36" s="64"/>
      <c r="H36" s="62"/>
      <c r="I36" s="53"/>
      <c r="J36" s="104"/>
      <c r="K36" s="107"/>
      <c r="L36" s="62"/>
      <c r="M36" s="76"/>
      <c r="N36" s="111"/>
      <c r="O36" s="111"/>
    </row>
    <row r="37" s="1" customFormat="1" ht="18" customHeight="1" spans="1:15">
      <c r="A37" s="73"/>
      <c r="B37" s="74">
        <f t="shared" si="6"/>
        <v>0</v>
      </c>
      <c r="C37" s="75"/>
      <c r="D37" s="76"/>
      <c r="E37" s="77"/>
      <c r="F37" s="74">
        <f t="shared" si="7"/>
        <v>0</v>
      </c>
      <c r="G37" s="64"/>
      <c r="H37" s="62"/>
      <c r="I37" s="53"/>
      <c r="J37" s="104"/>
      <c r="K37" s="107"/>
      <c r="L37" s="62"/>
      <c r="M37" s="76"/>
      <c r="N37" s="111"/>
      <c r="O37" s="111"/>
    </row>
    <row r="38" s="1" customFormat="1" ht="18" customHeight="1" spans="1:15">
      <c r="A38" s="73"/>
      <c r="B38" s="74">
        <f t="shared" si="6"/>
        <v>0</v>
      </c>
      <c r="C38" s="75"/>
      <c r="D38" s="76"/>
      <c r="E38" s="77"/>
      <c r="F38" s="74">
        <f t="shared" si="7"/>
        <v>0</v>
      </c>
      <c r="G38" s="64"/>
      <c r="H38" s="62"/>
      <c r="I38" s="53"/>
      <c r="J38" s="104"/>
      <c r="K38" s="107"/>
      <c r="L38" s="62"/>
      <c r="M38" s="76"/>
      <c r="N38" s="111"/>
      <c r="O38" s="111"/>
    </row>
    <row r="39" s="1" customFormat="1" ht="18" customHeight="1" spans="1:15">
      <c r="A39" s="73"/>
      <c r="B39" s="74">
        <f t="shared" si="6"/>
        <v>0</v>
      </c>
      <c r="C39" s="75"/>
      <c r="D39" s="76"/>
      <c r="E39" s="77"/>
      <c r="F39" s="74">
        <f t="shared" si="7"/>
        <v>0</v>
      </c>
      <c r="G39" s="64"/>
      <c r="H39" s="62"/>
      <c r="I39" s="53"/>
      <c r="J39" s="104"/>
      <c r="K39" s="107"/>
      <c r="L39" s="62"/>
      <c r="M39" s="76"/>
      <c r="N39" s="111"/>
      <c r="O39" s="111"/>
    </row>
    <row r="40" s="1" customFormat="1" ht="18" customHeight="1" spans="1:15">
      <c r="A40" s="73"/>
      <c r="B40" s="74">
        <f t="shared" si="6"/>
        <v>0</v>
      </c>
      <c r="C40" s="75"/>
      <c r="D40" s="76"/>
      <c r="E40" s="77"/>
      <c r="F40" s="74">
        <f t="shared" si="7"/>
        <v>0</v>
      </c>
      <c r="G40" s="64"/>
      <c r="H40" s="62"/>
      <c r="I40" s="53"/>
      <c r="J40" s="104"/>
      <c r="K40" s="107"/>
      <c r="L40" s="62"/>
      <c r="M40" s="76"/>
      <c r="N40" s="111"/>
      <c r="O40" s="111"/>
    </row>
    <row r="41" s="1" customFormat="1" ht="18" customHeight="1" spans="1:15">
      <c r="A41" s="73"/>
      <c r="B41" s="74">
        <f t="shared" si="6"/>
        <v>0</v>
      </c>
      <c r="C41" s="75"/>
      <c r="D41" s="76"/>
      <c r="E41" s="77"/>
      <c r="F41" s="74">
        <f t="shared" si="7"/>
        <v>0</v>
      </c>
      <c r="G41" s="64"/>
      <c r="H41" s="62"/>
      <c r="I41" s="53"/>
      <c r="J41" s="104"/>
      <c r="K41" s="107"/>
      <c r="L41" s="62"/>
      <c r="M41" s="76"/>
      <c r="N41" s="111"/>
      <c r="O41" s="111"/>
    </row>
    <row r="42" s="1" customFormat="1" ht="18" customHeight="1" spans="1:15">
      <c r="A42" s="73"/>
      <c r="B42" s="74">
        <f t="shared" si="6"/>
        <v>0</v>
      </c>
      <c r="C42" s="75"/>
      <c r="D42" s="76"/>
      <c r="E42" s="77"/>
      <c r="F42" s="74">
        <f t="shared" si="7"/>
        <v>0</v>
      </c>
      <c r="G42" s="64"/>
      <c r="H42" s="62"/>
      <c r="I42" s="53"/>
      <c r="J42" s="104"/>
      <c r="K42" s="107"/>
      <c r="L42" s="62"/>
      <c r="M42" s="76"/>
      <c r="N42" s="111"/>
      <c r="O42" s="111"/>
    </row>
    <row r="43" s="1" customFormat="1" ht="18" customHeight="1" spans="1:15">
      <c r="A43" s="73"/>
      <c r="B43" s="74">
        <f t="shared" si="6"/>
        <v>0</v>
      </c>
      <c r="C43" s="75"/>
      <c r="D43" s="76" t="s">
        <v>53</v>
      </c>
      <c r="E43" s="77"/>
      <c r="F43" s="74">
        <f t="shared" si="7"/>
        <v>0</v>
      </c>
      <c r="G43" s="64"/>
      <c r="H43" s="62"/>
      <c r="I43" s="53"/>
      <c r="J43" s="104"/>
      <c r="K43" s="107"/>
      <c r="L43" s="111"/>
      <c r="M43" s="76"/>
      <c r="N43" s="111"/>
      <c r="O43" s="111"/>
    </row>
    <row r="44" s="1" customFormat="1" ht="18" customHeight="1" spans="1:15">
      <c r="A44" s="73"/>
      <c r="B44" s="74"/>
      <c r="C44" s="75"/>
      <c r="D44" s="76"/>
      <c r="E44" s="77"/>
      <c r="F44" s="74">
        <f t="shared" si="7"/>
        <v>0</v>
      </c>
      <c r="G44" s="64"/>
      <c r="H44" s="62"/>
      <c r="I44" s="53"/>
      <c r="J44" s="104"/>
      <c r="K44" s="107"/>
      <c r="L44" s="111"/>
      <c r="M44" s="76"/>
      <c r="N44" s="111"/>
      <c r="O44" s="111"/>
    </row>
    <row r="45" s="1" customFormat="1" ht="18" customHeight="1" spans="1:15">
      <c r="A45" s="73"/>
      <c r="B45" s="74"/>
      <c r="C45" s="75"/>
      <c r="D45" s="76"/>
      <c r="E45" s="77"/>
      <c r="F45" s="74">
        <f t="shared" si="7"/>
        <v>0</v>
      </c>
      <c r="G45" s="64"/>
      <c r="H45" s="62"/>
      <c r="I45" s="53"/>
      <c r="J45" s="104"/>
      <c r="K45" s="107"/>
      <c r="L45" s="111"/>
      <c r="M45" s="76"/>
      <c r="N45" s="111"/>
      <c r="O45" s="111"/>
    </row>
    <row r="46" s="1" customFormat="1" ht="18" customHeight="1" spans="1:15">
      <c r="A46" s="73"/>
      <c r="B46" s="74"/>
      <c r="C46" s="75"/>
      <c r="D46" s="76"/>
      <c r="E46" s="77"/>
      <c r="F46" s="74">
        <f t="shared" si="7"/>
        <v>0</v>
      </c>
      <c r="G46" s="64"/>
      <c r="H46" s="62"/>
      <c r="I46" s="53"/>
      <c r="J46" s="104"/>
      <c r="K46" s="107"/>
      <c r="L46" s="111"/>
      <c r="M46" s="76"/>
      <c r="N46" s="111"/>
      <c r="O46" s="111"/>
    </row>
    <row r="47" s="1" customFormat="1" ht="18" customHeight="1" spans="1:15">
      <c r="A47" s="73"/>
      <c r="B47" s="74"/>
      <c r="C47" s="75"/>
      <c r="D47" s="76"/>
      <c r="E47" s="77"/>
      <c r="F47" s="74"/>
      <c r="G47" s="64"/>
      <c r="H47" s="62"/>
      <c r="I47" s="53"/>
      <c r="J47" s="104"/>
      <c r="K47" s="107"/>
      <c r="L47" s="111"/>
      <c r="M47" s="76"/>
      <c r="N47" s="111"/>
      <c r="O47" s="111"/>
    </row>
    <row r="48" s="1" customFormat="1" ht="18" customHeight="1" spans="1:15">
      <c r="A48" s="73"/>
      <c r="B48" s="74"/>
      <c r="C48" s="75"/>
      <c r="D48" s="76"/>
      <c r="E48" s="77"/>
      <c r="F48" s="74"/>
      <c r="G48" s="64"/>
      <c r="H48" s="62"/>
      <c r="I48" s="53"/>
      <c r="J48" s="104"/>
      <c r="K48" s="107"/>
      <c r="L48" s="111"/>
      <c r="M48" s="76"/>
      <c r="N48" s="111"/>
      <c r="O48" s="111"/>
    </row>
    <row r="49" s="1" customFormat="1" ht="18" customHeight="1" spans="1:15">
      <c r="A49" s="73"/>
      <c r="B49" s="74"/>
      <c r="C49" s="75"/>
      <c r="D49" s="76"/>
      <c r="E49" s="77"/>
      <c r="F49" s="74"/>
      <c r="G49" s="64"/>
      <c r="H49" s="62"/>
      <c r="I49" s="53"/>
      <c r="J49" s="104"/>
      <c r="K49" s="105"/>
      <c r="L49" s="111"/>
      <c r="M49" s="76"/>
      <c r="N49" s="111"/>
      <c r="O49" s="111"/>
    </row>
    <row r="50" s="1" customFormat="1" ht="18" customHeight="1" spans="1:15">
      <c r="A50" s="73"/>
      <c r="B50" s="74"/>
      <c r="C50" s="75"/>
      <c r="D50" s="76"/>
      <c r="E50" s="77"/>
      <c r="F50" s="74"/>
      <c r="G50" s="64"/>
      <c r="H50" s="62"/>
      <c r="I50" s="53"/>
      <c r="J50" s="104"/>
      <c r="K50" s="105"/>
      <c r="L50" s="111"/>
      <c r="M50" s="76"/>
      <c r="N50" s="111"/>
      <c r="O50" s="111"/>
    </row>
    <row r="51" s="1" customFormat="1" ht="18" customHeight="1" spans="1:15">
      <c r="A51" s="73"/>
      <c r="B51" s="74"/>
      <c r="C51" s="75"/>
      <c r="D51" s="76"/>
      <c r="E51" s="77"/>
      <c r="F51" s="74"/>
      <c r="G51" s="64"/>
      <c r="H51" s="62"/>
      <c r="I51" s="53"/>
      <c r="J51" s="104"/>
      <c r="K51" s="105"/>
      <c r="L51" s="111"/>
      <c r="M51" s="76"/>
      <c r="N51" s="111"/>
      <c r="O51" s="111"/>
    </row>
    <row r="52" s="1" customFormat="1" ht="18" customHeight="1" spans="1:15">
      <c r="A52" s="73"/>
      <c r="B52" s="74"/>
      <c r="C52" s="75"/>
      <c r="D52" s="76"/>
      <c r="E52" s="77"/>
      <c r="F52" s="74"/>
      <c r="G52" s="64"/>
      <c r="H52" s="62"/>
      <c r="I52" s="113">
        <v>33878.1</v>
      </c>
      <c r="J52" s="114" t="s">
        <v>64</v>
      </c>
      <c r="K52" s="115" t="s">
        <v>65</v>
      </c>
      <c r="L52" s="111"/>
      <c r="M52" s="76"/>
      <c r="N52" s="111"/>
      <c r="O52" s="111"/>
    </row>
    <row r="53" s="1" customFormat="1" ht="18" customHeight="1" spans="1:15">
      <c r="A53" s="73"/>
      <c r="B53" s="74">
        <f>ROUND(G53/(1+E53),2)</f>
        <v>0</v>
      </c>
      <c r="C53" s="75"/>
      <c r="D53" s="76" t="s">
        <v>53</v>
      </c>
      <c r="E53" s="77"/>
      <c r="F53" s="74">
        <f>ROUND(G53/(1+E53)*E53,2)</f>
        <v>0</v>
      </c>
      <c r="G53" s="64"/>
      <c r="H53" s="62"/>
      <c r="I53" s="113">
        <v>22605.79</v>
      </c>
      <c r="J53" s="114" t="s">
        <v>64</v>
      </c>
      <c r="K53" s="115" t="s">
        <v>66</v>
      </c>
      <c r="L53" s="111"/>
      <c r="M53" s="76"/>
      <c r="N53" s="111"/>
      <c r="O53" s="111"/>
    </row>
    <row r="54" ht="18" customHeight="1" spans="1:15">
      <c r="A54" s="73"/>
      <c r="B54" s="74">
        <f>ROUND(G54/(1+E54),2)</f>
        <v>133346.97</v>
      </c>
      <c r="C54" s="75"/>
      <c r="D54" s="76" t="s">
        <v>53</v>
      </c>
      <c r="E54" s="77"/>
      <c r="F54" s="74">
        <f>ROUND(G54/(1+E54)*E54,2)</f>
        <v>0</v>
      </c>
      <c r="G54" s="64">
        <v>133346.97</v>
      </c>
      <c r="H54" s="62"/>
      <c r="I54" s="53">
        <v>133346.97</v>
      </c>
      <c r="J54" s="81" t="s">
        <v>64</v>
      </c>
      <c r="K54" s="116" t="s">
        <v>67</v>
      </c>
      <c r="L54" s="70"/>
      <c r="M54" s="81"/>
      <c r="N54" s="70"/>
      <c r="O54" s="70"/>
    </row>
    <row r="55" ht="18" customHeight="1" spans="1:11">
      <c r="A55" s="68" t="s">
        <v>28</v>
      </c>
      <c r="B55" s="67">
        <f>SUM(B15:B54)</f>
        <v>2401825.43</v>
      </c>
      <c r="C55" s="68"/>
      <c r="D55" s="85"/>
      <c r="E55" s="85"/>
      <c r="F55" s="69">
        <f>SUM(F15:F54)</f>
        <v>181826.01</v>
      </c>
      <c r="G55" s="68">
        <f>SUM(G15:G54)</f>
        <v>2583651.44</v>
      </c>
      <c r="H55" s="85" t="s">
        <v>28</v>
      </c>
      <c r="I55" s="68">
        <f ca="1">SUM(I15:I55)</f>
        <v>0</v>
      </c>
      <c r="J55" s="56"/>
      <c r="K55" s="117"/>
    </row>
    <row r="56" ht="18" customHeight="1" spans="1:11">
      <c r="A56" s="86"/>
      <c r="B56" s="86">
        <f>B12-B55</f>
        <v>44907.9277981697</v>
      </c>
      <c r="C56" s="86"/>
      <c r="D56" s="87"/>
      <c r="E56" s="87"/>
      <c r="F56" s="86">
        <f>F12-F55</f>
        <v>-10554.674954128</v>
      </c>
      <c r="G56" s="86"/>
      <c r="H56" s="85" t="s">
        <v>68</v>
      </c>
      <c r="I56" s="68">
        <f ca="1">I12-I55</f>
        <v>0</v>
      </c>
      <c r="J56" s="56"/>
      <c r="K56" s="71"/>
    </row>
    <row r="57" ht="18" customHeight="1" spans="1:11">
      <c r="A57" s="58" t="s">
        <v>69</v>
      </c>
      <c r="B57" s="56"/>
      <c r="C57" s="58"/>
      <c r="D57" s="56"/>
      <c r="E57" s="56"/>
      <c r="F57" s="71"/>
      <c r="G57" s="71"/>
      <c r="H57" s="56"/>
      <c r="I57" s="118"/>
      <c r="J57" s="56"/>
      <c r="K57" s="71"/>
    </row>
    <row r="58" ht="18" customHeight="1" spans="1:11">
      <c r="A58" s="88" t="s">
        <v>70</v>
      </c>
      <c r="B58" s="59" t="s">
        <v>71</v>
      </c>
      <c r="C58" s="70"/>
      <c r="D58" s="88" t="s">
        <v>70</v>
      </c>
      <c r="E58" s="59" t="s">
        <v>19</v>
      </c>
      <c r="F58" s="59" t="s">
        <v>71</v>
      </c>
      <c r="G58" s="53" t="s">
        <v>72</v>
      </c>
      <c r="H58" s="52" t="s">
        <v>73</v>
      </c>
      <c r="I58" s="118"/>
      <c r="J58" s="56"/>
      <c r="K58" s="71"/>
    </row>
    <row r="59" ht="18" customHeight="1" spans="1:11">
      <c r="A59" s="70" t="s">
        <v>74</v>
      </c>
      <c r="B59" s="74">
        <f>(B12-B55)*0.25</f>
        <v>11226.9819495424</v>
      </c>
      <c r="C59" s="70"/>
      <c r="D59" s="50" t="s">
        <v>75</v>
      </c>
      <c r="E59" s="81" t="s">
        <v>76</v>
      </c>
      <c r="F59" s="69">
        <f>F12-F55</f>
        <v>-10554.674954128</v>
      </c>
      <c r="G59" s="69">
        <f>D7</f>
        <v>29553.0157798165</v>
      </c>
      <c r="H59" s="69">
        <f>D8</f>
        <v>19381.6513761468</v>
      </c>
      <c r="I59" s="118"/>
      <c r="J59" s="56"/>
      <c r="K59" s="71"/>
    </row>
    <row r="60" ht="18" customHeight="1" spans="1:11">
      <c r="A60" s="70" t="s">
        <v>77</v>
      </c>
      <c r="B60" s="52">
        <f>G12*0.0003</f>
        <v>800.081808</v>
      </c>
      <c r="C60" s="70"/>
      <c r="D60" s="89" t="s">
        <v>78</v>
      </c>
      <c r="E60" s="53">
        <v>0.07</v>
      </c>
      <c r="F60" s="52">
        <f>F59*E60</f>
        <v>-738.827246788961</v>
      </c>
      <c r="G60" s="52">
        <f>G59*0.05</f>
        <v>1477.65078899083</v>
      </c>
      <c r="H60" s="52">
        <f>H59*0.07</f>
        <v>1356.71559633028</v>
      </c>
      <c r="I60" s="118"/>
      <c r="J60" s="56"/>
      <c r="K60" s="71"/>
    </row>
    <row r="61" ht="18" customHeight="1" spans="1:11">
      <c r="A61" s="70" t="s">
        <v>79</v>
      </c>
      <c r="B61" s="52">
        <f>B12*0.0006</f>
        <v>1468.0400146789</v>
      </c>
      <c r="C61" s="70"/>
      <c r="D61" s="89" t="s">
        <v>80</v>
      </c>
      <c r="E61" s="53">
        <v>0.03</v>
      </c>
      <c r="F61" s="52">
        <f>F59*E61</f>
        <v>-316.64024862384</v>
      </c>
      <c r="G61" s="52">
        <f>G59*0.03</f>
        <v>886.590473394495</v>
      </c>
      <c r="H61" s="52">
        <f>H59*0.03</f>
        <v>581.449541284404</v>
      </c>
      <c r="I61" s="118"/>
      <c r="J61" s="56"/>
      <c r="K61" s="71"/>
    </row>
    <row r="62" ht="18" customHeight="1" spans="1:11">
      <c r="A62" s="70"/>
      <c r="B62" s="70"/>
      <c r="C62" s="70"/>
      <c r="D62" s="89" t="s">
        <v>81</v>
      </c>
      <c r="E62" s="53">
        <v>0.02</v>
      </c>
      <c r="F62" s="52">
        <f>F59*E62</f>
        <v>-211.09349908256</v>
      </c>
      <c r="G62" s="52">
        <f>G59*0.02</f>
        <v>591.06031559633</v>
      </c>
      <c r="H62" s="52">
        <f>H59*0.02</f>
        <v>387.633027522936</v>
      </c>
      <c r="I62" s="118"/>
      <c r="J62" s="56"/>
      <c r="K62" s="71"/>
    </row>
    <row r="63" ht="17" customHeight="1" spans="1:11">
      <c r="A63" s="66" t="s">
        <v>82</v>
      </c>
      <c r="B63" s="67">
        <f>SUM(B59:B62)</f>
        <v>13495.1037722213</v>
      </c>
      <c r="C63" s="70"/>
      <c r="D63" s="90" t="s">
        <v>82</v>
      </c>
      <c r="E63" s="90"/>
      <c r="F63" s="91">
        <f>SUM(F59:F62)</f>
        <v>-11821.2359486234</v>
      </c>
      <c r="G63" s="91">
        <f>SUM(G59:G62)</f>
        <v>32508.3173577982</v>
      </c>
      <c r="H63" s="69">
        <f>SUM(H59:H62)</f>
        <v>21707.4495412844</v>
      </c>
      <c r="I63" s="118"/>
      <c r="J63" s="56"/>
      <c r="K63" s="71"/>
    </row>
    <row r="64" ht="18" customHeight="1" spans="3:8">
      <c r="C64" s="2"/>
      <c r="D64" s="70" t="s">
        <v>77</v>
      </c>
      <c r="E64" s="10"/>
      <c r="F64" s="10">
        <f>G12*0.0003</f>
        <v>800.081808</v>
      </c>
      <c r="G64" s="10">
        <f>G7*0.0003</f>
        <v>483.191808</v>
      </c>
      <c r="H64" s="10">
        <f>G8*0.0003</f>
        <v>316.89</v>
      </c>
    </row>
    <row r="65" ht="18" customHeight="1" spans="3:8">
      <c r="C65" s="2"/>
      <c r="D65" s="70" t="s">
        <v>79</v>
      </c>
      <c r="E65" s="10"/>
      <c r="F65" s="10">
        <f>B12*0.0006</f>
        <v>1468.0400146789</v>
      </c>
      <c r="G65" s="10">
        <f>B7*0.0006</f>
        <v>886.590473394495</v>
      </c>
      <c r="H65" s="10">
        <f>B8*0.0006</f>
        <v>581.449541284404</v>
      </c>
    </row>
    <row r="66" ht="18" customHeight="1" spans="3:8">
      <c r="C66" s="2"/>
      <c r="D66" s="22" t="s">
        <v>82</v>
      </c>
      <c r="E66" s="22"/>
      <c r="F66" s="22">
        <f>SUM(F64:F65)</f>
        <v>2268.1218226789</v>
      </c>
      <c r="G66" s="22">
        <f>SUM(G64:G65)</f>
        <v>1369.7822813945</v>
      </c>
      <c r="H66" s="22">
        <f>SUM(H64:H65)</f>
        <v>898.339541284404</v>
      </c>
    </row>
    <row r="67" ht="15" customHeight="1" spans="3:8">
      <c r="C67" s="2"/>
      <c r="F67" s="3">
        <f>F63+F66</f>
        <v>-9553.11412594448</v>
      </c>
      <c r="G67" s="3">
        <f>G63+G66</f>
        <v>33878.0996391927</v>
      </c>
      <c r="H67" s="3">
        <f>H63+H66</f>
        <v>22605.7890825688</v>
      </c>
    </row>
    <row r="68" spans="3:7">
      <c r="C68" s="2"/>
      <c r="F68" s="5"/>
      <c r="G68" s="5"/>
    </row>
    <row r="69" spans="3:7">
      <c r="C69" s="2"/>
      <c r="F69" s="5"/>
      <c r="G69" s="5"/>
    </row>
    <row r="70" spans="3:7">
      <c r="C70" s="2"/>
      <c r="F70" s="5"/>
      <c r="G70" s="5"/>
    </row>
    <row r="71" spans="3:7">
      <c r="C71" s="2"/>
      <c r="F71" s="5"/>
      <c r="G71" s="5"/>
    </row>
    <row r="72" spans="3:7">
      <c r="C72" s="2"/>
      <c r="F72" s="5"/>
      <c r="G72" s="5"/>
    </row>
    <row r="73" spans="3:7">
      <c r="C73" s="2"/>
      <c r="F73" s="5"/>
      <c r="G73" s="5"/>
    </row>
    <row r="74" spans="3:7">
      <c r="C74" s="2"/>
      <c r="F74" s="5"/>
      <c r="G74" s="5"/>
    </row>
    <row r="75" spans="3:7">
      <c r="C75" s="2"/>
      <c r="F75" s="5"/>
      <c r="G75" s="5"/>
    </row>
    <row r="76" spans="3:7">
      <c r="C76" s="2"/>
      <c r="F76" s="5"/>
      <c r="G76" s="5"/>
    </row>
    <row r="77" spans="3:7">
      <c r="C77" s="2"/>
      <c r="F77" s="5"/>
      <c r="G77" s="5"/>
    </row>
    <row r="78" spans="3:7">
      <c r="C78" s="2"/>
      <c r="F78" s="5"/>
      <c r="G78" s="5"/>
    </row>
    <row r="79" spans="3:7">
      <c r="C79" s="2"/>
      <c r="F79" s="5"/>
      <c r="G79" s="5"/>
    </row>
    <row r="80" spans="3:3">
      <c r="C80" s="2"/>
    </row>
    <row r="81" spans="3:3">
      <c r="C81" s="2"/>
    </row>
    <row r="82" spans="3:3">
      <c r="C82" s="2"/>
    </row>
    <row r="83" spans="3:3">
      <c r="C83" s="2"/>
    </row>
    <row r="84" spans="3:3">
      <c r="C84" s="2"/>
    </row>
    <row r="85" spans="3:3">
      <c r="C85" s="2"/>
    </row>
    <row r="86" spans="3:3">
      <c r="C86" s="2"/>
    </row>
    <row r="87" spans="3:3">
      <c r="C87" s="2"/>
    </row>
  </sheetData>
  <autoFilter ref="A14:O46">
    <extLst/>
  </autoFilter>
  <mergeCells count="8">
    <mergeCell ref="A1:I1"/>
    <mergeCell ref="H2:I2"/>
    <mergeCell ref="C5:D5"/>
    <mergeCell ref="E5:F5"/>
    <mergeCell ref="H5:J5"/>
    <mergeCell ref="A5:A6"/>
    <mergeCell ref="B5:B6"/>
    <mergeCell ref="G5:G6"/>
  </mergeCells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9"/>
  <sheetViews>
    <sheetView topLeftCell="A7" workbookViewId="0">
      <selection activeCell="I48" sqref="I48"/>
    </sheetView>
  </sheetViews>
  <sheetFormatPr defaultColWidth="9" defaultRowHeight="12"/>
  <cols>
    <col min="1" max="1" width="10.75" style="2" customWidth="1"/>
    <col min="2" max="2" width="12.25" style="3" customWidth="1"/>
    <col min="3" max="3" width="6" style="3" customWidth="1"/>
    <col min="4" max="4" width="13.375" style="3" customWidth="1"/>
    <col min="5" max="5" width="6" style="3" customWidth="1"/>
    <col min="6" max="6" width="10.5" style="3" customWidth="1"/>
    <col min="7" max="7" width="14.125" style="3" customWidth="1"/>
    <col min="8" max="8" width="9.625" style="3" customWidth="1"/>
    <col min="9" max="9" width="7.75" style="4" customWidth="1"/>
    <col min="10" max="10" width="31.5" style="5" customWidth="1"/>
    <col min="11" max="16384" width="9" style="5"/>
  </cols>
  <sheetData>
    <row r="1" ht="21.95" customHeight="1" spans="1:10">
      <c r="A1" s="6" t="s">
        <v>83</v>
      </c>
      <c r="B1" s="7"/>
      <c r="C1" s="7"/>
      <c r="D1" s="7"/>
      <c r="E1" s="7"/>
      <c r="F1" s="7"/>
      <c r="G1" s="7"/>
      <c r="H1" s="7"/>
      <c r="I1" s="7"/>
      <c r="J1" s="14"/>
    </row>
    <row r="2" ht="18" customHeight="1" spans="1:10">
      <c r="A2" s="8" t="s">
        <v>1</v>
      </c>
      <c r="B2" s="9" t="s">
        <v>2</v>
      </c>
      <c r="C2" s="10" t="s">
        <v>3</v>
      </c>
      <c r="D2" s="10">
        <v>3127929</v>
      </c>
      <c r="E2" s="11" t="s">
        <v>4</v>
      </c>
      <c r="F2" s="10" t="s">
        <v>5</v>
      </c>
      <c r="G2" s="11" t="s">
        <v>6</v>
      </c>
      <c r="H2" s="12"/>
      <c r="I2" s="44"/>
      <c r="J2" s="14"/>
    </row>
    <row r="3" ht="18" customHeight="1" spans="1:10">
      <c r="A3" s="8" t="s">
        <v>9</v>
      </c>
      <c r="B3" s="13"/>
      <c r="C3" s="10" t="s">
        <v>10</v>
      </c>
      <c r="D3" s="10"/>
      <c r="H3" s="14"/>
      <c r="I3" s="14"/>
      <c r="J3" s="14"/>
    </row>
    <row r="4" ht="18" customHeight="1" spans="1:10">
      <c r="A4" s="2" t="s">
        <v>12</v>
      </c>
      <c r="H4" s="14"/>
      <c r="I4" s="14"/>
      <c r="J4" s="14"/>
    </row>
    <row r="5" ht="18" customHeight="1" spans="1:9">
      <c r="A5" s="15" t="s">
        <v>13</v>
      </c>
      <c r="B5" s="15" t="s">
        <v>14</v>
      </c>
      <c r="C5" s="15" t="s">
        <v>15</v>
      </c>
      <c r="D5" s="15"/>
      <c r="E5" s="15" t="s">
        <v>16</v>
      </c>
      <c r="F5" s="15"/>
      <c r="G5" s="15" t="s">
        <v>17</v>
      </c>
      <c r="H5" s="16" t="s">
        <v>18</v>
      </c>
      <c r="I5" s="16"/>
    </row>
    <row r="6" ht="18" customHeight="1" spans="1:9">
      <c r="A6" s="15"/>
      <c r="B6" s="15"/>
      <c r="C6" s="15" t="s">
        <v>19</v>
      </c>
      <c r="D6" s="15" t="s">
        <v>20</v>
      </c>
      <c r="E6" s="15" t="s">
        <v>19</v>
      </c>
      <c r="F6" s="15" t="s">
        <v>20</v>
      </c>
      <c r="G6" s="15"/>
      <c r="H6" s="16" t="s">
        <v>21</v>
      </c>
      <c r="I6" s="16" t="s">
        <v>23</v>
      </c>
    </row>
    <row r="7" ht="18" customHeight="1" spans="1:9">
      <c r="A7" s="17" t="s">
        <v>24</v>
      </c>
      <c r="B7" s="10">
        <f t="shared" ref="B7:B8" si="0">G7/(1+C7+E7)</f>
        <v>1477650.78899083</v>
      </c>
      <c r="C7" s="18">
        <v>0.02</v>
      </c>
      <c r="D7" s="10">
        <f t="shared" ref="D7:D8" si="1">G7/(1+E7+C7)*C7</f>
        <v>29553.0157798165</v>
      </c>
      <c r="E7" s="18">
        <v>0.07</v>
      </c>
      <c r="F7" s="10">
        <f t="shared" ref="F7:F8" si="2">G7/(1+C7+E7)*E7</f>
        <v>103435.555229358</v>
      </c>
      <c r="G7" s="19">
        <v>1610639.36</v>
      </c>
      <c r="H7" s="17" t="s">
        <v>25</v>
      </c>
      <c r="I7" s="41" t="s">
        <v>26</v>
      </c>
    </row>
    <row r="8" ht="18" customHeight="1" spans="1:10">
      <c r="A8" s="17"/>
      <c r="B8" s="10">
        <f t="shared" si="0"/>
        <v>0</v>
      </c>
      <c r="C8" s="18">
        <v>0.02</v>
      </c>
      <c r="D8" s="10">
        <f t="shared" si="1"/>
        <v>0</v>
      </c>
      <c r="E8" s="18">
        <v>0.08</v>
      </c>
      <c r="F8" s="10">
        <f t="shared" si="2"/>
        <v>0</v>
      </c>
      <c r="G8" s="19"/>
      <c r="H8" s="17"/>
      <c r="I8" s="41"/>
      <c r="J8" s="5">
        <f>F12/0.16*1.16</f>
        <v>749907.775412844</v>
      </c>
    </row>
    <row r="9" ht="18" customHeight="1" spans="1:9">
      <c r="A9" s="17"/>
      <c r="B9" s="10">
        <f t="shared" ref="B9:B11" si="3">G9/(1+C9+E9)</f>
        <v>0</v>
      </c>
      <c r="C9" s="18"/>
      <c r="D9" s="10">
        <f t="shared" ref="D9:D11" si="4">G9/(1+E9+C9)*C9</f>
        <v>0</v>
      </c>
      <c r="E9" s="18">
        <v>0.08</v>
      </c>
      <c r="F9" s="10">
        <f t="shared" ref="F9:F11" si="5">G9/(1+C9+E9)*E9</f>
        <v>0</v>
      </c>
      <c r="G9" s="19"/>
      <c r="H9" s="17"/>
      <c r="I9" s="41"/>
    </row>
    <row r="10" ht="18" customHeight="1" spans="1:9">
      <c r="A10" s="17"/>
      <c r="B10" s="10">
        <f t="shared" si="3"/>
        <v>0</v>
      </c>
      <c r="C10" s="18"/>
      <c r="D10" s="10">
        <f t="shared" si="4"/>
        <v>0</v>
      </c>
      <c r="E10" s="18">
        <v>0.08</v>
      </c>
      <c r="F10" s="10">
        <f t="shared" si="5"/>
        <v>0</v>
      </c>
      <c r="G10" s="19"/>
      <c r="H10" s="17"/>
      <c r="I10" s="41"/>
    </row>
    <row r="11" ht="18" customHeight="1" spans="1:10">
      <c r="A11" s="17"/>
      <c r="B11" s="10">
        <f t="shared" si="3"/>
        <v>0</v>
      </c>
      <c r="C11" s="18"/>
      <c r="D11" s="10">
        <f t="shared" si="4"/>
        <v>0</v>
      </c>
      <c r="E11" s="18">
        <v>0.08</v>
      </c>
      <c r="F11" s="10">
        <f t="shared" si="5"/>
        <v>0</v>
      </c>
      <c r="G11" s="19"/>
      <c r="H11" s="17"/>
      <c r="I11" s="41"/>
      <c r="J11" s="5">
        <f>G7*0.097</f>
        <v>156232.01792</v>
      </c>
    </row>
    <row r="12" ht="18" customHeight="1" spans="1:10">
      <c r="A12" s="20" t="s">
        <v>28</v>
      </c>
      <c r="B12" s="21">
        <f>SUM(B7:B11)</f>
        <v>1477650.78899083</v>
      </c>
      <c r="C12" s="22"/>
      <c r="D12" s="22">
        <f>SUM(D7:D11)</f>
        <v>29553.0157798165</v>
      </c>
      <c r="E12" s="22"/>
      <c r="F12" s="23">
        <f>SUM(F7:F11)</f>
        <v>103435.555229358</v>
      </c>
      <c r="G12" s="22">
        <f>SUM(G7:G11)</f>
        <v>1610639.36</v>
      </c>
      <c r="H12" s="24"/>
      <c r="I12" s="24"/>
      <c r="J12" s="3"/>
    </row>
    <row r="13" ht="18" customHeight="1" spans="1:10">
      <c r="A13" s="2" t="s">
        <v>29</v>
      </c>
      <c r="B13" s="5"/>
      <c r="I13" s="3"/>
      <c r="J13" s="45" t="s">
        <v>37</v>
      </c>
    </row>
    <row r="14" s="1" customFormat="1" ht="18" customHeight="1" spans="1:10">
      <c r="A14" s="25" t="s">
        <v>30</v>
      </c>
      <c r="B14" s="15" t="s">
        <v>31</v>
      </c>
      <c r="C14" s="15" t="s">
        <v>32</v>
      </c>
      <c r="D14" s="15" t="s">
        <v>33</v>
      </c>
      <c r="E14" s="15" t="s">
        <v>19</v>
      </c>
      <c r="F14" s="15" t="s">
        <v>34</v>
      </c>
      <c r="G14" s="15" t="s">
        <v>17</v>
      </c>
      <c r="H14" s="15" t="s">
        <v>35</v>
      </c>
      <c r="I14" s="15" t="s">
        <v>23</v>
      </c>
      <c r="J14" s="46"/>
    </row>
    <row r="15" s="1" customFormat="1" ht="18" customHeight="1" spans="1:10">
      <c r="A15" s="9" t="s">
        <v>25</v>
      </c>
      <c r="B15" s="26">
        <f>ROUND(G15/(1+E15),2)</f>
        <v>599792.04</v>
      </c>
      <c r="C15" s="27">
        <v>1</v>
      </c>
      <c r="D15" s="28" t="s">
        <v>42</v>
      </c>
      <c r="E15" s="29">
        <v>0.13</v>
      </c>
      <c r="F15" s="26">
        <f>ROUND(G15/(1+E15)*E15,2)</f>
        <v>77972.96</v>
      </c>
      <c r="G15" s="19">
        <f>677765</f>
        <v>677765</v>
      </c>
      <c r="H15" s="17"/>
      <c r="I15" s="41"/>
      <c r="J15" s="46" t="s">
        <v>43</v>
      </c>
    </row>
    <row r="16" s="1" customFormat="1" ht="18" customHeight="1" spans="1:10">
      <c r="A16" s="9" t="s">
        <v>25</v>
      </c>
      <c r="B16" s="26">
        <f t="shared" ref="B16:B36" si="6">ROUND(G16/(1+E16),2)</f>
        <v>164070.8</v>
      </c>
      <c r="C16" s="27">
        <v>1</v>
      </c>
      <c r="D16" s="28" t="s">
        <v>42</v>
      </c>
      <c r="E16" s="29">
        <v>0.13</v>
      </c>
      <c r="F16" s="26">
        <f t="shared" ref="F16:F36" si="7">ROUND(G16/(1+E16)*E16,2)</f>
        <v>21329.2</v>
      </c>
      <c r="G16" s="19">
        <f>79800+52800*2</f>
        <v>185400</v>
      </c>
      <c r="H16" s="30"/>
      <c r="I16" s="41"/>
      <c r="J16" s="46" t="s">
        <v>44</v>
      </c>
    </row>
    <row r="17" s="1" customFormat="1" ht="18" customHeight="1" spans="1:10">
      <c r="A17" s="9" t="s">
        <v>25</v>
      </c>
      <c r="B17" s="26">
        <f t="shared" si="6"/>
        <v>7964.6</v>
      </c>
      <c r="C17" s="27">
        <v>1</v>
      </c>
      <c r="D17" s="28" t="s">
        <v>42</v>
      </c>
      <c r="E17" s="29">
        <v>0.13</v>
      </c>
      <c r="F17" s="26">
        <f t="shared" si="7"/>
        <v>1035.4</v>
      </c>
      <c r="G17" s="19">
        <v>9000</v>
      </c>
      <c r="H17" s="17"/>
      <c r="I17" s="41"/>
      <c r="J17" s="46" t="s">
        <v>45</v>
      </c>
    </row>
    <row r="18" s="1" customFormat="1" ht="18" customHeight="1" spans="1:9">
      <c r="A18" s="9" t="s">
        <v>25</v>
      </c>
      <c r="B18" s="26">
        <f t="shared" si="6"/>
        <v>4631.13</v>
      </c>
      <c r="C18" s="27">
        <v>1</v>
      </c>
      <c r="D18" s="28" t="s">
        <v>42</v>
      </c>
      <c r="E18" s="29">
        <v>0.13</v>
      </c>
      <c r="F18" s="26">
        <f t="shared" si="7"/>
        <v>602.05</v>
      </c>
      <c r="G18" s="19">
        <f>2160+1574+1400+10.5+88.68</f>
        <v>5233.18</v>
      </c>
      <c r="H18" s="17" t="s">
        <v>46</v>
      </c>
      <c r="I18" s="41"/>
    </row>
    <row r="19" s="1" customFormat="1" ht="18" customHeight="1" spans="1:10">
      <c r="A19" s="9" t="s">
        <v>25</v>
      </c>
      <c r="B19" s="26">
        <f t="shared" si="6"/>
        <v>10728.58</v>
      </c>
      <c r="C19" s="27">
        <v>1</v>
      </c>
      <c r="D19" s="28" t="s">
        <v>42</v>
      </c>
      <c r="E19" s="29">
        <v>0.06</v>
      </c>
      <c r="F19" s="26">
        <f t="shared" si="7"/>
        <v>643.71</v>
      </c>
      <c r="G19" s="19">
        <v>11372.29</v>
      </c>
      <c r="H19" s="17" t="s">
        <v>48</v>
      </c>
      <c r="I19" s="41"/>
      <c r="J19" s="46" t="s">
        <v>47</v>
      </c>
    </row>
    <row r="20" s="1" customFormat="1" ht="18" customHeight="1" spans="1:10">
      <c r="A20" s="9" t="s">
        <v>25</v>
      </c>
      <c r="B20" s="26">
        <f t="shared" si="6"/>
        <v>4213.72</v>
      </c>
      <c r="C20" s="27">
        <v>2</v>
      </c>
      <c r="D20" s="28" t="s">
        <v>42</v>
      </c>
      <c r="E20" s="29">
        <v>0.13</v>
      </c>
      <c r="F20" s="26">
        <f t="shared" si="7"/>
        <v>547.78</v>
      </c>
      <c r="G20" s="19">
        <v>4761.5</v>
      </c>
      <c r="H20" s="17"/>
      <c r="I20" s="41"/>
      <c r="J20" s="46" t="s">
        <v>49</v>
      </c>
    </row>
    <row r="21" s="1" customFormat="1" ht="18" customHeight="1" spans="1:10">
      <c r="A21" s="9" t="s">
        <v>25</v>
      </c>
      <c r="B21" s="26">
        <f t="shared" si="6"/>
        <v>4827.59</v>
      </c>
      <c r="C21" s="27">
        <v>1</v>
      </c>
      <c r="D21" s="28" t="s">
        <v>42</v>
      </c>
      <c r="E21" s="29">
        <v>0.16</v>
      </c>
      <c r="F21" s="26">
        <f t="shared" si="7"/>
        <v>772.41</v>
      </c>
      <c r="G21" s="19">
        <v>5600</v>
      </c>
      <c r="H21" s="17" t="s">
        <v>51</v>
      </c>
      <c r="I21" s="41"/>
      <c r="J21" s="46" t="s">
        <v>50</v>
      </c>
    </row>
    <row r="22" s="1" customFormat="1" ht="18" customHeight="1" spans="1:10">
      <c r="A22" s="9" t="s">
        <v>25</v>
      </c>
      <c r="B22" s="26">
        <f t="shared" si="6"/>
        <v>813.27</v>
      </c>
      <c r="C22" s="27">
        <v>2</v>
      </c>
      <c r="D22" s="28" t="s">
        <v>42</v>
      </c>
      <c r="E22" s="29">
        <v>0.13</v>
      </c>
      <c r="F22" s="26">
        <f t="shared" si="7"/>
        <v>105.73</v>
      </c>
      <c r="G22" s="19">
        <v>919</v>
      </c>
      <c r="H22" s="17"/>
      <c r="I22" s="41"/>
      <c r="J22" s="46"/>
    </row>
    <row r="23" s="1" customFormat="1" ht="18" customHeight="1" spans="1:10">
      <c r="A23" s="9" t="s">
        <v>25</v>
      </c>
      <c r="B23" s="26">
        <f t="shared" si="6"/>
        <v>1643.36</v>
      </c>
      <c r="C23" s="27">
        <v>2</v>
      </c>
      <c r="D23" s="28" t="s">
        <v>42</v>
      </c>
      <c r="E23" s="29">
        <v>0.13</v>
      </c>
      <c r="F23" s="26">
        <f t="shared" si="7"/>
        <v>213.64</v>
      </c>
      <c r="G23" s="19">
        <f>729+1128</f>
        <v>1857</v>
      </c>
      <c r="H23" s="17" t="s">
        <v>51</v>
      </c>
      <c r="I23" s="41"/>
      <c r="J23" s="46"/>
    </row>
    <row r="24" s="1" customFormat="1" ht="18" customHeight="1" spans="1:10">
      <c r="A24" s="9" t="s">
        <v>25</v>
      </c>
      <c r="B24" s="26">
        <f t="shared" si="6"/>
        <v>1017.24</v>
      </c>
      <c r="C24" s="27">
        <v>1</v>
      </c>
      <c r="D24" s="28" t="s">
        <v>42</v>
      </c>
      <c r="E24" s="29">
        <v>0.16</v>
      </c>
      <c r="F24" s="26">
        <f t="shared" si="7"/>
        <v>162.76</v>
      </c>
      <c r="G24" s="19">
        <v>1180</v>
      </c>
      <c r="H24" s="17"/>
      <c r="I24" s="41"/>
      <c r="J24" s="46" t="s">
        <v>52</v>
      </c>
    </row>
    <row r="25" s="1" customFormat="1" ht="18" customHeight="1" spans="1:10">
      <c r="A25" s="9" t="s">
        <v>25</v>
      </c>
      <c r="B25" s="26">
        <f t="shared" si="6"/>
        <v>300000</v>
      </c>
      <c r="C25" s="27">
        <v>3</v>
      </c>
      <c r="D25" s="28" t="s">
        <v>53</v>
      </c>
      <c r="E25" s="29">
        <v>0</v>
      </c>
      <c r="F25" s="26">
        <f t="shared" si="7"/>
        <v>0</v>
      </c>
      <c r="G25" s="19">
        <v>300000</v>
      </c>
      <c r="H25" s="17" t="s">
        <v>51</v>
      </c>
      <c r="I25" s="41" t="s">
        <v>54</v>
      </c>
      <c r="J25" s="46"/>
    </row>
    <row r="26" s="1" customFormat="1" ht="18" customHeight="1" spans="1:10">
      <c r="A26" s="9" t="s">
        <v>25</v>
      </c>
      <c r="B26" s="26">
        <f t="shared" si="6"/>
        <v>200000</v>
      </c>
      <c r="C26" s="27">
        <v>2</v>
      </c>
      <c r="D26" s="28" t="s">
        <v>53</v>
      </c>
      <c r="E26" s="29">
        <v>0</v>
      </c>
      <c r="F26" s="26">
        <f t="shared" si="7"/>
        <v>0</v>
      </c>
      <c r="G26" s="19">
        <v>200000</v>
      </c>
      <c r="H26" s="17" t="s">
        <v>55</v>
      </c>
      <c r="I26" s="41" t="s">
        <v>54</v>
      </c>
      <c r="J26" s="46"/>
    </row>
    <row r="27" s="1" customFormat="1" ht="18" customHeight="1" spans="1:10">
      <c r="A27" s="9" t="s">
        <v>25</v>
      </c>
      <c r="B27" s="26">
        <f t="shared" si="6"/>
        <v>10000</v>
      </c>
      <c r="C27" s="27">
        <v>10</v>
      </c>
      <c r="D27" s="28" t="s">
        <v>53</v>
      </c>
      <c r="E27" s="29">
        <v>0</v>
      </c>
      <c r="F27" s="26">
        <f t="shared" si="7"/>
        <v>0</v>
      </c>
      <c r="G27" s="19">
        <v>10000</v>
      </c>
      <c r="H27" s="17" t="s">
        <v>56</v>
      </c>
      <c r="I27" s="41"/>
      <c r="J27" s="46"/>
    </row>
    <row r="28" s="1" customFormat="1" ht="18" customHeight="1" spans="1:10">
      <c r="A28" s="9" t="s">
        <v>25</v>
      </c>
      <c r="B28" s="26">
        <f t="shared" si="6"/>
        <v>29852.5</v>
      </c>
      <c r="C28" s="27">
        <v>3</v>
      </c>
      <c r="D28" s="28" t="s">
        <v>53</v>
      </c>
      <c r="E28" s="29">
        <v>0</v>
      </c>
      <c r="F28" s="26">
        <f t="shared" si="7"/>
        <v>0</v>
      </c>
      <c r="G28" s="19">
        <f>9975+9938.75*2</f>
        <v>29852.5</v>
      </c>
      <c r="H28" s="17" t="s">
        <v>56</v>
      </c>
      <c r="I28" s="41"/>
      <c r="J28" s="46"/>
    </row>
    <row r="29" s="1" customFormat="1" ht="18" customHeight="1" spans="1:10">
      <c r="A29" s="31" t="s">
        <v>25</v>
      </c>
      <c r="B29" s="32">
        <f t="shared" si="6"/>
        <v>4634</v>
      </c>
      <c r="C29" s="33">
        <v>49</v>
      </c>
      <c r="D29" s="34" t="s">
        <v>53</v>
      </c>
      <c r="E29" s="35">
        <v>0</v>
      </c>
      <c r="F29" s="32">
        <f t="shared" si="7"/>
        <v>0</v>
      </c>
      <c r="G29" s="36">
        <v>4634</v>
      </c>
      <c r="H29" s="31" t="s">
        <v>57</v>
      </c>
      <c r="I29" s="41"/>
      <c r="J29" s="46"/>
    </row>
    <row r="30" s="1" customFormat="1" ht="18" customHeight="1" spans="1:10">
      <c r="A30" s="9" t="s">
        <v>25</v>
      </c>
      <c r="B30" s="26">
        <f t="shared" si="6"/>
        <v>40000</v>
      </c>
      <c r="C30" s="27">
        <v>4</v>
      </c>
      <c r="D30" s="28" t="s">
        <v>53</v>
      </c>
      <c r="E30" s="29">
        <v>0</v>
      </c>
      <c r="F30" s="26">
        <f t="shared" si="7"/>
        <v>0</v>
      </c>
      <c r="G30" s="19">
        <v>40000</v>
      </c>
      <c r="H30" s="17" t="s">
        <v>58</v>
      </c>
      <c r="I30" s="41"/>
      <c r="J30" s="46"/>
    </row>
    <row r="31" s="1" customFormat="1" ht="18" customHeight="1" spans="1:10">
      <c r="A31" s="9" t="s">
        <v>25</v>
      </c>
      <c r="B31" s="26">
        <f t="shared" si="6"/>
        <v>10000</v>
      </c>
      <c r="C31" s="27">
        <v>1</v>
      </c>
      <c r="D31" s="28" t="s">
        <v>53</v>
      </c>
      <c r="E31" s="29">
        <v>0</v>
      </c>
      <c r="F31" s="26">
        <f t="shared" si="7"/>
        <v>0</v>
      </c>
      <c r="G31" s="19">
        <v>10000</v>
      </c>
      <c r="H31" s="17" t="s">
        <v>59</v>
      </c>
      <c r="I31" s="41"/>
      <c r="J31" s="46"/>
    </row>
    <row r="32" s="1" customFormat="1" ht="18" customHeight="1" spans="1:10">
      <c r="A32" s="9" t="s">
        <v>25</v>
      </c>
      <c r="B32" s="26">
        <f t="shared" si="6"/>
        <v>2085</v>
      </c>
      <c r="C32" s="27">
        <v>25</v>
      </c>
      <c r="D32" s="28" t="s">
        <v>53</v>
      </c>
      <c r="E32" s="29">
        <v>0</v>
      </c>
      <c r="F32" s="26">
        <f t="shared" si="7"/>
        <v>0</v>
      </c>
      <c r="G32" s="19">
        <f>1680+405</f>
        <v>2085</v>
      </c>
      <c r="H32" s="17" t="s">
        <v>57</v>
      </c>
      <c r="I32" s="41"/>
      <c r="J32" s="46"/>
    </row>
    <row r="33" s="1" customFormat="1" ht="18" customHeight="1" spans="1:10">
      <c r="A33" s="9" t="s">
        <v>25</v>
      </c>
      <c r="B33" s="26">
        <f t="shared" si="6"/>
        <v>645</v>
      </c>
      <c r="C33" s="27">
        <v>30</v>
      </c>
      <c r="D33" s="28" t="s">
        <v>53</v>
      </c>
      <c r="E33" s="29">
        <v>0</v>
      </c>
      <c r="F33" s="26">
        <f t="shared" si="7"/>
        <v>0</v>
      </c>
      <c r="G33" s="19">
        <v>645</v>
      </c>
      <c r="H33" s="17" t="s">
        <v>60</v>
      </c>
      <c r="I33" s="41"/>
      <c r="J33" s="46"/>
    </row>
    <row r="34" s="1" customFormat="1" ht="18" customHeight="1" spans="1:10">
      <c r="A34" s="9"/>
      <c r="B34" s="26">
        <f t="shared" si="6"/>
        <v>0</v>
      </c>
      <c r="C34" s="27"/>
      <c r="D34" s="28" t="s">
        <v>53</v>
      </c>
      <c r="E34" s="29"/>
      <c r="F34" s="26">
        <f t="shared" si="7"/>
        <v>0</v>
      </c>
      <c r="G34" s="19"/>
      <c r="H34" s="17"/>
      <c r="I34" s="41"/>
      <c r="J34" s="46"/>
    </row>
    <row r="35" s="1" customFormat="1" ht="18" customHeight="1" spans="1:10">
      <c r="A35" s="9"/>
      <c r="B35" s="26">
        <f t="shared" si="6"/>
        <v>0</v>
      </c>
      <c r="C35" s="27"/>
      <c r="D35" s="28" t="s">
        <v>53</v>
      </c>
      <c r="E35" s="29"/>
      <c r="F35" s="26">
        <f t="shared" si="7"/>
        <v>0</v>
      </c>
      <c r="G35" s="19"/>
      <c r="H35" s="17"/>
      <c r="I35" s="41"/>
      <c r="J35" s="46"/>
    </row>
    <row r="36" ht="18" customHeight="1" spans="1:10">
      <c r="A36" s="9"/>
      <c r="B36" s="26">
        <f t="shared" si="6"/>
        <v>80531.97</v>
      </c>
      <c r="C36" s="27"/>
      <c r="D36" s="28" t="s">
        <v>53</v>
      </c>
      <c r="E36" s="29"/>
      <c r="F36" s="26">
        <f t="shared" si="7"/>
        <v>0</v>
      </c>
      <c r="G36" s="37">
        <f>G12*0.05</f>
        <v>80531.968</v>
      </c>
      <c r="H36" s="17" t="s">
        <v>67</v>
      </c>
      <c r="I36" s="41"/>
      <c r="J36" s="47"/>
    </row>
    <row r="37" ht="18" customHeight="1" spans="1:10">
      <c r="A37" s="22" t="s">
        <v>28</v>
      </c>
      <c r="B37" s="21">
        <f>SUM(B15:B36)</f>
        <v>1477450.8</v>
      </c>
      <c r="C37" s="22"/>
      <c r="D37" s="38"/>
      <c r="E37" s="38"/>
      <c r="F37" s="23">
        <f>SUM(F15:F36)</f>
        <v>103385.64</v>
      </c>
      <c r="G37" s="22">
        <f>SUM(G15:G36)</f>
        <v>1580836.438</v>
      </c>
      <c r="H37" s="24"/>
      <c r="I37" s="24"/>
      <c r="J37" s="48"/>
    </row>
    <row r="38" ht="18" customHeight="1" spans="1:9">
      <c r="A38" s="39"/>
      <c r="B38" s="39">
        <f>B12-B37</f>
        <v>199.988990825601</v>
      </c>
      <c r="C38" s="39"/>
      <c r="D38" s="40"/>
      <c r="E38" s="40"/>
      <c r="F38" s="39">
        <f>F12-F37</f>
        <v>49.9152293578081</v>
      </c>
      <c r="G38" s="39"/>
      <c r="H38" s="5"/>
      <c r="I38" s="5"/>
    </row>
    <row r="39" ht="18" customHeight="1" spans="1:7">
      <c r="A39" s="2" t="s">
        <v>69</v>
      </c>
      <c r="C39" s="2"/>
      <c r="F39" s="5"/>
      <c r="G39" s="5"/>
    </row>
    <row r="40" ht="18" customHeight="1" spans="1:7">
      <c r="A40" s="16" t="s">
        <v>70</v>
      </c>
      <c r="B40" s="15" t="s">
        <v>71</v>
      </c>
      <c r="C40" s="24"/>
      <c r="D40" s="16" t="s">
        <v>70</v>
      </c>
      <c r="E40" s="15" t="s">
        <v>19</v>
      </c>
      <c r="F40" s="15" t="s">
        <v>71</v>
      </c>
      <c r="G40" s="15" t="s">
        <v>84</v>
      </c>
    </row>
    <row r="41" ht="18" customHeight="1" spans="1:7">
      <c r="A41" s="24" t="s">
        <v>74</v>
      </c>
      <c r="B41" s="26">
        <f>(B12-B37)*0.25</f>
        <v>49.9972477064002</v>
      </c>
      <c r="C41" s="24"/>
      <c r="D41" s="8" t="s">
        <v>75</v>
      </c>
      <c r="E41" s="41" t="s">
        <v>76</v>
      </c>
      <c r="F41" s="42">
        <f>F12-F37</f>
        <v>49.9152293578081</v>
      </c>
      <c r="G41" s="42"/>
    </row>
    <row r="42" ht="18" customHeight="1" spans="1:7">
      <c r="A42" s="24" t="s">
        <v>77</v>
      </c>
      <c r="B42" s="10">
        <f>G12*0.0003</f>
        <v>483.191808</v>
      </c>
      <c r="C42" s="24"/>
      <c r="D42" s="43" t="s">
        <v>78</v>
      </c>
      <c r="E42" s="11">
        <v>0.05</v>
      </c>
      <c r="F42" s="10">
        <f>F41*E42</f>
        <v>2.49576146789041</v>
      </c>
      <c r="G42" s="10"/>
    </row>
    <row r="43" ht="18" customHeight="1" spans="1:7">
      <c r="A43" s="24" t="s">
        <v>79</v>
      </c>
      <c r="B43" s="10">
        <f>B12*0.0006</f>
        <v>886.590473394495</v>
      </c>
      <c r="C43" s="24"/>
      <c r="D43" s="43" t="s">
        <v>80</v>
      </c>
      <c r="E43" s="11">
        <v>0.03</v>
      </c>
      <c r="F43" s="10">
        <f>F41*E43</f>
        <v>1.49745688073424</v>
      </c>
      <c r="G43" s="10"/>
    </row>
    <row r="44" ht="18" customHeight="1" spans="1:7">
      <c r="A44" s="24"/>
      <c r="B44" s="24"/>
      <c r="C44" s="24"/>
      <c r="D44" s="43" t="s">
        <v>81</v>
      </c>
      <c r="E44" s="11">
        <v>0.02</v>
      </c>
      <c r="F44" s="10">
        <f>F41*E44</f>
        <v>0.998304587156163</v>
      </c>
      <c r="G44" s="10"/>
    </row>
    <row r="45" spans="1:7">
      <c r="A45" s="20" t="s">
        <v>82</v>
      </c>
      <c r="B45" s="21">
        <f>SUM(B41:B44)</f>
        <v>1419.7795291009</v>
      </c>
      <c r="C45" s="24"/>
      <c r="D45" s="20" t="s">
        <v>82</v>
      </c>
      <c r="E45" s="20"/>
      <c r="F45" s="23">
        <f>SUM(F41:F44)</f>
        <v>54.9067522935889</v>
      </c>
      <c r="G45" s="23"/>
    </row>
    <row r="46" spans="3:7">
      <c r="C46" s="2"/>
      <c r="F46" s="5"/>
      <c r="G46" s="5"/>
    </row>
    <row r="47" spans="3:7">
      <c r="C47" s="2"/>
      <c r="F47" s="5"/>
      <c r="G47" s="5"/>
    </row>
    <row r="48" spans="3:7">
      <c r="C48" s="2"/>
      <c r="F48" s="5"/>
      <c r="G48" s="5"/>
    </row>
    <row r="49" spans="3:7">
      <c r="C49" s="2"/>
      <c r="F49" s="5"/>
      <c r="G49" s="5"/>
    </row>
    <row r="50" spans="3:7">
      <c r="C50" s="2"/>
      <c r="F50" s="5"/>
      <c r="G50" s="5"/>
    </row>
    <row r="51" spans="3:7">
      <c r="C51" s="2"/>
      <c r="F51" s="5"/>
      <c r="G51" s="5"/>
    </row>
    <row r="52" spans="3:7">
      <c r="C52" s="2"/>
      <c r="F52" s="5"/>
      <c r="G52" s="5"/>
    </row>
    <row r="53" spans="3:7">
      <c r="C53" s="2"/>
      <c r="F53" s="5"/>
      <c r="G53" s="5"/>
    </row>
    <row r="54" spans="3:7">
      <c r="C54" s="2"/>
      <c r="F54" s="5"/>
      <c r="G54" s="5"/>
    </row>
    <row r="55" spans="3:7">
      <c r="C55" s="2"/>
      <c r="F55" s="5"/>
      <c r="G55" s="5"/>
    </row>
    <row r="56" spans="3:7">
      <c r="C56" s="2"/>
      <c r="F56" s="5"/>
      <c r="G56" s="5"/>
    </row>
    <row r="57" spans="3:7">
      <c r="C57" s="2"/>
      <c r="F57" s="5"/>
      <c r="G57" s="5"/>
    </row>
    <row r="58" spans="3:7">
      <c r="C58" s="2"/>
      <c r="F58" s="5"/>
      <c r="G58" s="5"/>
    </row>
    <row r="59" spans="3:7">
      <c r="C59" s="2"/>
      <c r="F59" s="5"/>
      <c r="G59" s="5"/>
    </row>
    <row r="60" spans="3:7">
      <c r="C60" s="2"/>
      <c r="F60" s="5"/>
      <c r="G60" s="5"/>
    </row>
    <row r="61" spans="3:7">
      <c r="C61" s="2"/>
      <c r="F61" s="5"/>
      <c r="G61" s="5"/>
    </row>
    <row r="62" spans="3:3">
      <c r="C62" s="2"/>
    </row>
    <row r="63" spans="3:3">
      <c r="C63" s="2"/>
    </row>
    <row r="64" spans="3:3">
      <c r="C64" s="2"/>
    </row>
    <row r="65" spans="3:3">
      <c r="C65" s="2"/>
    </row>
    <row r="66" spans="3:3">
      <c r="C66" s="2"/>
    </row>
    <row r="67" spans="3:3">
      <c r="C67" s="2"/>
    </row>
    <row r="68" spans="3:3">
      <c r="C68" s="2"/>
    </row>
    <row r="69" spans="3:3">
      <c r="C69" s="2"/>
    </row>
  </sheetData>
  <mergeCells count="8">
    <mergeCell ref="A1:I1"/>
    <mergeCell ref="H2:I2"/>
    <mergeCell ref="C5:D5"/>
    <mergeCell ref="E5:F5"/>
    <mergeCell ref="H5:I5"/>
    <mergeCell ref="A5:A6"/>
    <mergeCell ref="B5:B6"/>
    <mergeCell ref="G5:G6"/>
  </mergeCells>
  <pageMargins left="0.7" right="0.7" top="0.75" bottom="0.75" header="0.3" footer="0.3"/>
  <pageSetup paperSize="9" orientation="portrait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2">
    <comment s:ref="G8" rgbClr="2F9BC4"/>
    <comment s:ref="E15" rgbClr="2F9BC4"/>
    <comment s:ref="G15" rgbClr="2F9BC4"/>
    <comment s:ref="A60" rgbClr="2F9BC4"/>
    <comment s:ref="A61" rgbClr="2F9BC4"/>
    <comment s:ref="D64" rgbClr="2F9BC4"/>
    <comment s:ref="D65" rgbClr="2F9BC4"/>
  </commentList>
  <commentList sheetStid="1"/>
</comment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新</vt:lpstr>
      <vt:lpstr>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chenchen</dc:creator>
  <cp:lastModifiedBy>qyr</cp:lastModifiedBy>
  <dcterms:created xsi:type="dcterms:W3CDTF">2021-10-28T08:32:00Z</dcterms:created>
  <dcterms:modified xsi:type="dcterms:W3CDTF">2022-01-29T01:32:44Z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0D6E0648FA4F442AB0A9B1D34CCA7BFC</vt:lpwstr>
  </property>
  <property fmtid="{D5CDD505-2E9C-101B-9397-08002B2CF9AE}" pid="3" name="KSOProductBuildVer">
    <vt:lpwstr>2052-11.1.0.11294</vt:lpwstr>
  </property>
</Properties>
</file>