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新" sheetId="5" r:id="rId1"/>
    <sheet name="旧" sheetId="4" r:id="rId2"/>
  </sheets>
  <definedNames>
    <definedName name="_xlnm._FilterDatabase" localSheetId="0" hidden="1">新!$A$13:$O$47</definedName>
  </definedNames>
  <calcPr calcId="144525"/>
</workbook>
</file>

<file path=xl/comments1.xml><?xml version="1.0" encoding="utf-8"?>
<comments xmlns="http://schemas.openxmlformats.org/spreadsheetml/2006/main">
  <authors>
    <author>cw05</author>
    <author>qyr</author>
  </authors>
  <commentList>
    <comment ref="G7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填写开票数字</t>
        </r>
      </text>
    </comment>
    <comment ref="E14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填写专票税率</t>
        </r>
      </text>
    </comment>
    <comment ref="G14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填写成本发票含税金额</t>
        </r>
      </text>
    </comment>
    <comment ref="A41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当地未缴，本地代扣代缴，含税价*0.0003。</t>
        </r>
      </text>
    </comment>
    <comment ref="A42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当地未缴，本地代扣代缴，不含税销售额*0.0006</t>
        </r>
      </text>
    </comment>
    <comment ref="I45" authorId="1">
      <text>
        <r>
          <rPr>
            <b/>
            <sz val="9"/>
            <rFont val="宋体"/>
            <charset val="134"/>
          </rPr>
          <t>qyr:</t>
        </r>
        <r>
          <rPr>
            <sz val="9"/>
            <rFont val="宋体"/>
            <charset val="134"/>
          </rPr>
          <t xml:space="preserve">
异地未预缴</t>
        </r>
      </text>
    </comment>
    <comment ref="I46" authorId="1">
      <text>
        <r>
          <rPr>
            <b/>
            <sz val="9"/>
            <rFont val="宋体"/>
            <charset val="134"/>
          </rPr>
          <t>qyr:</t>
        </r>
        <r>
          <rPr>
            <sz val="9"/>
            <rFont val="宋体"/>
            <charset val="134"/>
          </rPr>
          <t xml:space="preserve">
异地已预缴479.59</t>
        </r>
      </text>
    </comment>
  </commentList>
</comments>
</file>

<file path=xl/comments2.xml><?xml version="1.0" encoding="utf-8"?>
<comments xmlns="http://schemas.openxmlformats.org/spreadsheetml/2006/main">
  <authors>
    <author>cw05</author>
  </authors>
  <commentList>
    <comment ref="G7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填写开票数字</t>
        </r>
      </text>
    </comment>
    <comment ref="E14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填写专票税率</t>
        </r>
      </text>
    </comment>
    <comment ref="G14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填写成本发票含税金额</t>
        </r>
      </text>
    </comment>
    <comment ref="A33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当地未缴，本地代扣代缴，含税价*0.0003。</t>
        </r>
      </text>
    </comment>
    <comment ref="A34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当地未缴，本地代扣代缴，不含税销售额*0.0006</t>
        </r>
      </text>
    </comment>
  </commentList>
</comments>
</file>

<file path=xl/sharedStrings.xml><?xml version="1.0" encoding="utf-8"?>
<sst xmlns="http://schemas.openxmlformats.org/spreadsheetml/2006/main" count="203" uniqueCount="85">
  <si>
    <t>C9660  六安市承接产业转移集中示范园区道路网变更调整工程</t>
  </si>
  <si>
    <t>中标日期</t>
  </si>
  <si>
    <t>中标价</t>
  </si>
  <si>
    <t>负责人</t>
  </si>
  <si>
    <t>宛新宏</t>
  </si>
  <si>
    <t>建设单位</t>
  </si>
  <si>
    <t>六安华一柏年项目管理有限公司</t>
  </si>
  <si>
    <t>公司同意不收企税，</t>
  </si>
  <si>
    <t>一期中标价</t>
  </si>
  <si>
    <t>决算日期</t>
  </si>
  <si>
    <t>决算价</t>
  </si>
  <si>
    <t>二期中标价</t>
  </si>
  <si>
    <t>销售开票：</t>
  </si>
  <si>
    <t>开票日期</t>
  </si>
  <si>
    <t>收入金额</t>
  </si>
  <si>
    <t>工程地缴税</t>
  </si>
  <si>
    <t>企业本地缴税</t>
  </si>
  <si>
    <t>价税合计</t>
  </si>
  <si>
    <t>到款情况</t>
  </si>
  <si>
    <t>税率</t>
  </si>
  <si>
    <t>增值税额</t>
  </si>
  <si>
    <t>日期</t>
  </si>
  <si>
    <t>金额</t>
  </si>
  <si>
    <t>银行</t>
  </si>
  <si>
    <t>中行</t>
  </si>
  <si>
    <t>新中行</t>
  </si>
  <si>
    <t>合计</t>
  </si>
  <si>
    <t>材料发票：</t>
  </si>
  <si>
    <t>认证日期</t>
  </si>
  <si>
    <t>成本金额</t>
  </si>
  <si>
    <t>份数</t>
  </si>
  <si>
    <t>类型</t>
  </si>
  <si>
    <t>进项税额</t>
  </si>
  <si>
    <t>付款日期</t>
  </si>
  <si>
    <t>付款金额</t>
  </si>
  <si>
    <t>销货单位</t>
  </si>
  <si>
    <t>货物</t>
  </si>
  <si>
    <t>合同</t>
  </si>
  <si>
    <t>发货单</t>
  </si>
  <si>
    <t>备注</t>
  </si>
  <si>
    <t>专</t>
  </si>
  <si>
    <t>2018-9-</t>
  </si>
  <si>
    <t>中</t>
  </si>
  <si>
    <t>合肥立皖交通设施制造有限公司</t>
  </si>
  <si>
    <t>标牌</t>
  </si>
  <si>
    <t>20万原件在庐江</t>
  </si>
  <si>
    <t>多余增值税部分作为成本</t>
  </si>
  <si>
    <t>徽行</t>
  </si>
  <si>
    <t>普（邮政代）</t>
  </si>
  <si>
    <t>笪久红</t>
  </si>
  <si>
    <t>工程服务</t>
  </si>
  <si>
    <t>9660-2021-002#（2021-352号）-149120</t>
  </si>
  <si>
    <t>宛新流</t>
  </si>
  <si>
    <t>9660-2021-003#（2021-353号）-145000</t>
  </si>
  <si>
    <t>普</t>
  </si>
  <si>
    <t>庐江政祥吊装有限公司</t>
  </si>
  <si>
    <t>吊装费</t>
  </si>
  <si>
    <t>9660-2021-001#（2021-351号）-150000</t>
  </si>
  <si>
    <t>庐江县荣安吊装服务有限公司</t>
  </si>
  <si>
    <t>9660-2021-004#（2021-354号）-100000</t>
  </si>
  <si>
    <t>暂扣</t>
  </si>
  <si>
    <t>成本不够</t>
  </si>
  <si>
    <t>扣</t>
  </si>
  <si>
    <t>外经证</t>
  </si>
  <si>
    <t>印花税</t>
  </si>
  <si>
    <t>管理费</t>
  </si>
  <si>
    <t>应提供成本</t>
  </si>
  <si>
    <t>可支付金额</t>
  </si>
  <si>
    <t>尚需提供成本</t>
  </si>
  <si>
    <t>公司代缴税金：</t>
  </si>
  <si>
    <t>税种</t>
  </si>
  <si>
    <t>税额</t>
  </si>
  <si>
    <t>19.1月开票扣税</t>
  </si>
  <si>
    <t>2021年2月开票税金</t>
  </si>
  <si>
    <t>企业所得税</t>
  </si>
  <si>
    <t>增值税</t>
  </si>
  <si>
    <t>差额</t>
  </si>
  <si>
    <t>城市维护建设税</t>
  </si>
  <si>
    <t>水利基金</t>
  </si>
  <si>
    <t>已交</t>
  </si>
  <si>
    <t>教育费附加</t>
  </si>
  <si>
    <t>地方教育费附加</t>
  </si>
  <si>
    <t>小计</t>
  </si>
  <si>
    <t>六安市承接产业转移集中示范园区道路网变更调整工程</t>
  </si>
  <si>
    <t>代办费</t>
  </si>
</sst>
</file>

<file path=xl/styles.xml><?xml version="1.0" encoding="utf-8"?>
<styleSheet xmlns="http://schemas.openxmlformats.org/spreadsheetml/2006/main">
  <numFmts count="9">
    <numFmt numFmtId="176" formatCode="#,##0.00_ "/>
    <numFmt numFmtId="177" formatCode="yy/m/d;@"/>
    <numFmt numFmtId="44" formatCode="_ &quot;￥&quot;* #,##0.00_ ;_ &quot;￥&quot;* \-#,##0.00_ ;_ &quot;￥&quot;* &quot;-&quot;??_ ;_ @_ "/>
    <numFmt numFmtId="43" formatCode="_ * #,##0.00_ ;_ * \-#,##0.00_ ;_ * &quot;-&quot;??_ ;_ @_ "/>
    <numFmt numFmtId="178" formatCode="yyyy&quot;年&quot;m&quot;月&quot;;@"/>
    <numFmt numFmtId="42" formatCode="_ &quot;￥&quot;* #,##0_ ;_ &quot;￥&quot;* \-#,##0_ ;_ &quot;￥&quot;* &quot;-&quot;_ ;_ @_ "/>
    <numFmt numFmtId="41" formatCode="_ * #,##0_ ;_ * \-#,##0_ ;_ * &quot;-&quot;_ ;_ @_ "/>
    <numFmt numFmtId="179" formatCode="0.00_ "/>
    <numFmt numFmtId="180" formatCode="#,##0_ "/>
  </numFmts>
  <fonts count="29"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b/>
      <sz val="9"/>
      <color rgb="FFFF0000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9"/>
      <color rgb="FFFF0000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indexed="8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8" fillId="17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18" borderId="9" applyNumberFormat="0" applyFont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23" fillId="13" borderId="12" applyNumberFormat="0" applyAlignment="0" applyProtection="0">
      <alignment vertical="center"/>
    </xf>
    <xf numFmtId="0" fontId="15" fillId="13" borderId="7" applyNumberFormat="0" applyAlignment="0" applyProtection="0">
      <alignment vertical="center"/>
    </xf>
    <xf numFmtId="0" fontId="25" fillId="28" borderId="13" applyNumberFormat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102">
    <xf numFmtId="0" fontId="0" fillId="0" borderId="0" xfId="0"/>
    <xf numFmtId="0" fontId="1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177" fontId="3" fillId="0" borderId="0" xfId="0" applyNumberFormat="1" applyFont="1" applyBorder="1" applyAlignment="1">
      <alignment vertical="center"/>
    </xf>
    <xf numFmtId="179" fontId="3" fillId="0" borderId="0" xfId="0" applyNumberFormat="1" applyFont="1" applyBorder="1" applyAlignment="1">
      <alignment horizontal="right" vertical="center"/>
    </xf>
    <xf numFmtId="176" fontId="3" fillId="0" borderId="0" xfId="0" applyNumberFormat="1" applyFont="1" applyBorder="1" applyAlignment="1">
      <alignment vertical="center"/>
    </xf>
    <xf numFmtId="179" fontId="3" fillId="0" borderId="0" xfId="0" applyNumberFormat="1" applyFont="1" applyBorder="1" applyAlignment="1">
      <alignment vertical="center"/>
    </xf>
    <xf numFmtId="10" fontId="3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177" fontId="4" fillId="0" borderId="1" xfId="0" applyNumberFormat="1" applyFont="1" applyBorder="1" applyAlignment="1">
      <alignment horizontal="center" vertical="center"/>
    </xf>
    <xf numFmtId="177" fontId="4" fillId="0" borderId="1" xfId="0" applyNumberFormat="1" applyFont="1" applyBorder="1" applyAlignment="1">
      <alignment horizontal="right" vertical="center"/>
    </xf>
    <xf numFmtId="179" fontId="4" fillId="0" borderId="1" xfId="0" applyNumberFormat="1" applyFont="1" applyBorder="1" applyAlignment="1">
      <alignment horizontal="center" vertical="center"/>
    </xf>
    <xf numFmtId="177" fontId="3" fillId="0" borderId="2" xfId="0" applyNumberFormat="1" applyFont="1" applyBorder="1" applyAlignment="1">
      <alignment vertical="center"/>
    </xf>
    <xf numFmtId="177" fontId="1" fillId="0" borderId="2" xfId="0" applyNumberFormat="1" applyFont="1" applyBorder="1" applyAlignment="1">
      <alignment horizontal="center" vertical="center"/>
    </xf>
    <xf numFmtId="176" fontId="3" fillId="0" borderId="2" xfId="0" applyNumberFormat="1" applyFont="1" applyBorder="1" applyAlignment="1">
      <alignment vertical="center"/>
    </xf>
    <xf numFmtId="179" fontId="3" fillId="0" borderId="2" xfId="0" applyNumberFormat="1" applyFont="1" applyBorder="1" applyAlignment="1">
      <alignment vertical="center"/>
    </xf>
    <xf numFmtId="176" fontId="3" fillId="0" borderId="2" xfId="0" applyNumberFormat="1" applyFont="1" applyBorder="1" applyAlignment="1">
      <alignment horizontal="center" vertical="center"/>
    </xf>
    <xf numFmtId="0" fontId="3" fillId="0" borderId="2" xfId="0" applyNumberFormat="1" applyFont="1" applyBorder="1" applyAlignment="1">
      <alignment vertical="center"/>
    </xf>
    <xf numFmtId="179" fontId="3" fillId="0" borderId="2" xfId="0" applyNumberFormat="1" applyFont="1" applyBorder="1" applyAlignment="1">
      <alignment horizontal="center" vertical="center"/>
    </xf>
    <xf numFmtId="177" fontId="3" fillId="0" borderId="3" xfId="0" applyNumberFormat="1" applyFont="1" applyBorder="1" applyAlignment="1">
      <alignment horizontal="left" vertical="center"/>
    </xf>
    <xf numFmtId="179" fontId="1" fillId="0" borderId="2" xfId="0" applyNumberFormat="1" applyFont="1" applyBorder="1" applyAlignment="1">
      <alignment horizontal="right" vertical="center"/>
    </xf>
    <xf numFmtId="177" fontId="4" fillId="0" borderId="0" xfId="0" applyNumberFormat="1" applyFont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179" fontId="5" fillId="0" borderId="2" xfId="0" applyNumberFormat="1" applyFont="1" applyBorder="1" applyAlignment="1">
      <alignment horizontal="right" vertical="center"/>
    </xf>
    <xf numFmtId="179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77" fontId="3" fillId="0" borderId="2" xfId="0" applyNumberFormat="1" applyFont="1" applyBorder="1" applyAlignment="1">
      <alignment horizontal="center" vertical="center"/>
    </xf>
    <xf numFmtId="179" fontId="3" fillId="0" borderId="2" xfId="0" applyNumberFormat="1" applyFont="1" applyBorder="1" applyAlignment="1">
      <alignment horizontal="right" vertical="center"/>
    </xf>
    <xf numFmtId="9" fontId="3" fillId="0" borderId="2" xfId="11" applyFont="1" applyBorder="1" applyAlignment="1">
      <alignment horizontal="center" vertical="center"/>
    </xf>
    <xf numFmtId="179" fontId="3" fillId="0" borderId="2" xfId="0" applyNumberFormat="1" applyFont="1" applyFill="1" applyBorder="1" applyAlignment="1">
      <alignment vertical="center"/>
    </xf>
    <xf numFmtId="179" fontId="1" fillId="2" borderId="2" xfId="0" applyNumberFormat="1" applyFont="1" applyFill="1" applyBorder="1" applyAlignment="1">
      <alignment vertical="center"/>
    </xf>
    <xf numFmtId="177" fontId="5" fillId="0" borderId="2" xfId="0" applyNumberFormat="1" applyFont="1" applyBorder="1" applyAlignment="1">
      <alignment vertical="center"/>
    </xf>
    <xf numFmtId="179" fontId="5" fillId="3" borderId="2" xfId="0" applyNumberFormat="1" applyFont="1" applyFill="1" applyBorder="1" applyAlignment="1">
      <alignment horizontal="right" vertical="center"/>
    </xf>
    <xf numFmtId="176" fontId="5" fillId="0" borderId="2" xfId="0" applyNumberFormat="1" applyFont="1" applyBorder="1" applyAlignment="1">
      <alignment vertical="center"/>
    </xf>
    <xf numFmtId="179" fontId="5" fillId="0" borderId="2" xfId="0" applyNumberFormat="1" applyFont="1" applyBorder="1" applyAlignment="1">
      <alignment vertical="center"/>
    </xf>
    <xf numFmtId="179" fontId="5" fillId="4" borderId="2" xfId="0" applyNumberFormat="1" applyFont="1" applyFill="1" applyBorder="1" applyAlignment="1">
      <alignment vertical="center"/>
    </xf>
    <xf numFmtId="0" fontId="3" fillId="0" borderId="2" xfId="0" applyFont="1" applyBorder="1" applyAlignment="1">
      <alignment vertical="center"/>
    </xf>
    <xf numFmtId="177" fontId="5" fillId="0" borderId="2" xfId="0" applyNumberFormat="1" applyFont="1" applyBorder="1" applyAlignment="1">
      <alignment horizontal="center" vertical="center"/>
    </xf>
    <xf numFmtId="178" fontId="1" fillId="0" borderId="2" xfId="0" applyNumberFormat="1" applyFont="1" applyBorder="1" applyAlignment="1">
      <alignment horizontal="center" vertical="center"/>
    </xf>
    <xf numFmtId="180" fontId="1" fillId="0" borderId="2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9" fontId="1" fillId="5" borderId="2" xfId="11" applyNumberFormat="1" applyFont="1" applyFill="1" applyBorder="1" applyAlignment="1">
      <alignment horizontal="center" vertical="center"/>
    </xf>
    <xf numFmtId="179" fontId="1" fillId="0" borderId="2" xfId="0" applyNumberFormat="1" applyFont="1" applyBorder="1" applyAlignment="1">
      <alignment vertical="center"/>
    </xf>
    <xf numFmtId="9" fontId="1" fillId="5" borderId="2" xfId="11" applyFont="1" applyFill="1" applyBorder="1" applyAlignment="1">
      <alignment horizontal="center" vertical="center"/>
    </xf>
    <xf numFmtId="178" fontId="2" fillId="0" borderId="2" xfId="0" applyNumberFormat="1" applyFont="1" applyBorder="1" applyAlignment="1">
      <alignment horizontal="center" vertical="center"/>
    </xf>
    <xf numFmtId="179" fontId="2" fillId="0" borderId="2" xfId="0" applyNumberFormat="1" applyFont="1" applyBorder="1" applyAlignment="1">
      <alignment horizontal="right" vertical="center"/>
    </xf>
    <xf numFmtId="180" fontId="2" fillId="0" borderId="2" xfId="0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9" fontId="2" fillId="5" borderId="2" xfId="11" applyFont="1" applyFill="1" applyBorder="1" applyAlignment="1">
      <alignment horizontal="center" vertical="center"/>
    </xf>
    <xf numFmtId="179" fontId="2" fillId="0" borderId="2" xfId="0" applyNumberFormat="1" applyFont="1" applyBorder="1" applyAlignment="1">
      <alignment vertical="center"/>
    </xf>
    <xf numFmtId="179" fontId="2" fillId="2" borderId="2" xfId="0" applyNumberFormat="1" applyFont="1" applyFill="1" applyBorder="1" applyAlignment="1">
      <alignment vertical="center"/>
    </xf>
    <xf numFmtId="177" fontId="2" fillId="0" borderId="2" xfId="0" applyNumberFormat="1" applyFont="1" applyBorder="1" applyAlignment="1">
      <alignment horizontal="center" vertical="center"/>
    </xf>
    <xf numFmtId="0" fontId="5" fillId="0" borderId="2" xfId="0" applyNumberFormat="1" applyFont="1" applyBorder="1" applyAlignment="1">
      <alignment vertical="center"/>
    </xf>
    <xf numFmtId="179" fontId="5" fillId="0" borderId="3" xfId="0" applyNumberFormat="1" applyFont="1" applyBorder="1" applyAlignment="1">
      <alignment vertical="center"/>
    </xf>
    <xf numFmtId="0" fontId="5" fillId="0" borderId="2" xfId="0" applyFont="1" applyBorder="1" applyAlignment="1">
      <alignment vertical="center"/>
    </xf>
    <xf numFmtId="176" fontId="5" fillId="0" borderId="0" xfId="0" applyNumberFormat="1" applyFont="1" applyBorder="1" applyAlignment="1">
      <alignment vertical="center"/>
    </xf>
    <xf numFmtId="179" fontId="5" fillId="0" borderId="0" xfId="0" applyNumberFormat="1" applyFont="1" applyBorder="1" applyAlignment="1">
      <alignment horizontal="right" vertical="center"/>
    </xf>
    <xf numFmtId="0" fontId="5" fillId="0" borderId="0" xfId="0" applyNumberFormat="1" applyFont="1" applyBorder="1" applyAlignment="1">
      <alignment vertical="center"/>
    </xf>
    <xf numFmtId="179" fontId="5" fillId="0" borderId="0" xfId="0" applyNumberFormat="1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177" fontId="3" fillId="0" borderId="2" xfId="0" applyNumberFormat="1" applyFont="1" applyBorder="1" applyAlignment="1">
      <alignment horizontal="right" vertical="center"/>
    </xf>
    <xf numFmtId="179" fontId="3" fillId="0" borderId="4" xfId="0" applyNumberFormat="1" applyFont="1" applyBorder="1" applyAlignment="1">
      <alignment horizontal="left" vertical="center"/>
    </xf>
    <xf numFmtId="177" fontId="3" fillId="0" borderId="5" xfId="0" applyNumberFormat="1" applyFont="1" applyBorder="1" applyAlignment="1">
      <alignment horizontal="left" vertical="center"/>
    </xf>
    <xf numFmtId="179" fontId="4" fillId="0" borderId="0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0" fontId="5" fillId="0" borderId="2" xfId="0" applyNumberFormat="1" applyFont="1" applyBorder="1" applyAlignment="1">
      <alignment horizontal="center" vertical="center"/>
    </xf>
    <xf numFmtId="10" fontId="1" fillId="3" borderId="2" xfId="0" applyNumberFormat="1" applyFont="1" applyFill="1" applyBorder="1" applyAlignment="1">
      <alignment vertical="center"/>
    </xf>
    <xf numFmtId="0" fontId="1" fillId="3" borderId="2" xfId="0" applyFont="1" applyFill="1" applyBorder="1" applyAlignment="1">
      <alignment vertical="center"/>
    </xf>
    <xf numFmtId="0" fontId="1" fillId="3" borderId="2" xfId="0" applyFont="1" applyFill="1" applyBorder="1" applyAlignment="1">
      <alignment horizontal="center" vertical="center"/>
    </xf>
    <xf numFmtId="10" fontId="1" fillId="6" borderId="2" xfId="0" applyNumberFormat="1" applyFont="1" applyFill="1" applyBorder="1" applyAlignment="1">
      <alignment vertical="center"/>
    </xf>
    <xf numFmtId="0" fontId="1" fillId="6" borderId="2" xfId="0" applyFont="1" applyFill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10" fontId="2" fillId="0" borderId="2" xfId="0" applyNumberFormat="1" applyFont="1" applyBorder="1" applyAlignment="1">
      <alignment vertical="center"/>
    </xf>
    <xf numFmtId="0" fontId="2" fillId="0" borderId="2" xfId="0" applyFont="1" applyBorder="1" applyAlignment="1">
      <alignment vertical="center"/>
    </xf>
    <xf numFmtId="10" fontId="1" fillId="0" borderId="2" xfId="0" applyNumberFormat="1" applyFont="1" applyBorder="1" applyAlignment="1">
      <alignment vertical="center"/>
    </xf>
    <xf numFmtId="0" fontId="3" fillId="0" borderId="5" xfId="0" applyFont="1" applyBorder="1" applyAlignment="1">
      <alignment vertical="center"/>
    </xf>
    <xf numFmtId="10" fontId="5" fillId="0" borderId="2" xfId="0" applyNumberFormat="1" applyFont="1" applyBorder="1" applyAlignment="1">
      <alignment vertical="center"/>
    </xf>
    <xf numFmtId="10" fontId="5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right" vertical="center"/>
    </xf>
    <xf numFmtId="176" fontId="3" fillId="0" borderId="2" xfId="0" applyNumberFormat="1" applyFont="1" applyFill="1" applyBorder="1" applyAlignment="1">
      <alignment vertical="center"/>
    </xf>
    <xf numFmtId="176" fontId="1" fillId="2" borderId="2" xfId="0" applyNumberFormat="1" applyFont="1" applyFill="1" applyBorder="1" applyAlignment="1">
      <alignment vertical="center"/>
    </xf>
    <xf numFmtId="9" fontId="3" fillId="0" borderId="2" xfId="11" applyNumberFormat="1" applyFont="1" applyBorder="1" applyAlignment="1">
      <alignment horizontal="center" vertical="center"/>
    </xf>
    <xf numFmtId="176" fontId="5" fillId="3" borderId="2" xfId="0" applyNumberFormat="1" applyFont="1" applyFill="1" applyBorder="1" applyAlignment="1">
      <alignment horizontal="right" vertical="center"/>
    </xf>
    <xf numFmtId="176" fontId="5" fillId="4" borderId="2" xfId="0" applyNumberFormat="1" applyFont="1" applyFill="1" applyBorder="1" applyAlignment="1">
      <alignment vertical="center"/>
    </xf>
    <xf numFmtId="176" fontId="1" fillId="0" borderId="2" xfId="0" applyNumberFormat="1" applyFont="1" applyBorder="1" applyAlignment="1">
      <alignment horizontal="right" vertical="center"/>
    </xf>
    <xf numFmtId="176" fontId="1" fillId="0" borderId="2" xfId="0" applyNumberFormat="1" applyFont="1" applyBorder="1" applyAlignment="1">
      <alignment vertical="center"/>
    </xf>
    <xf numFmtId="176" fontId="2" fillId="0" borderId="2" xfId="0" applyNumberFormat="1" applyFont="1" applyBorder="1" applyAlignment="1">
      <alignment horizontal="right" vertical="center"/>
    </xf>
    <xf numFmtId="176" fontId="2" fillId="0" borderId="2" xfId="0" applyNumberFormat="1" applyFont="1" applyBorder="1" applyAlignment="1">
      <alignment vertical="center"/>
    </xf>
    <xf numFmtId="176" fontId="2" fillId="2" borderId="2" xfId="0" applyNumberFormat="1" applyFont="1" applyFill="1" applyBorder="1" applyAlignment="1">
      <alignment vertical="center"/>
    </xf>
    <xf numFmtId="176" fontId="5" fillId="0" borderId="3" xfId="0" applyNumberFormat="1" applyFont="1" applyBorder="1" applyAlignment="1">
      <alignment vertical="center"/>
    </xf>
    <xf numFmtId="176" fontId="5" fillId="0" borderId="0" xfId="0" applyNumberFormat="1" applyFont="1" applyBorder="1" applyAlignment="1">
      <alignment horizontal="right" vertical="center"/>
    </xf>
    <xf numFmtId="49" fontId="3" fillId="0" borderId="2" xfId="0" applyNumberFormat="1" applyFont="1" applyBorder="1" applyAlignment="1">
      <alignment vertical="center"/>
    </xf>
    <xf numFmtId="176" fontId="3" fillId="0" borderId="2" xfId="0" applyNumberFormat="1" applyFont="1" applyBorder="1" applyAlignment="1">
      <alignment horizontal="left" vertical="center"/>
    </xf>
    <xf numFmtId="177" fontId="4" fillId="3" borderId="0" xfId="0" applyNumberFormat="1" applyFont="1" applyFill="1" applyBorder="1" applyAlignment="1">
      <alignment horizontal="center" vertical="center"/>
    </xf>
    <xf numFmtId="176" fontId="5" fillId="0" borderId="0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176" fontId="6" fillId="0" borderId="2" xfId="0" applyNumberFormat="1" applyFont="1" applyBorder="1" applyAlignment="1">
      <alignment vertical="center"/>
    </xf>
    <xf numFmtId="10" fontId="6" fillId="0" borderId="2" xfId="0" applyNumberFormat="1" applyFont="1" applyBorder="1" applyAlignment="1">
      <alignment vertical="center"/>
    </xf>
    <xf numFmtId="179" fontId="3" fillId="4" borderId="2" xfId="0" applyNumberFormat="1" applyFont="1" applyFill="1" applyBorder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66"/>
  <sheetViews>
    <sheetView tabSelected="1" topLeftCell="A10" workbookViewId="0">
      <selection activeCell="K38" sqref="K38"/>
    </sheetView>
  </sheetViews>
  <sheetFormatPr defaultColWidth="9" defaultRowHeight="11.25"/>
  <cols>
    <col min="1" max="1" width="10.75" style="3" customWidth="1"/>
    <col min="2" max="2" width="13.125" style="4" customWidth="1"/>
    <col min="3" max="3" width="6" style="5" customWidth="1"/>
    <col min="4" max="4" width="13.375" style="5" customWidth="1"/>
    <col min="5" max="5" width="6" style="5" customWidth="1"/>
    <col min="6" max="6" width="13.125" style="6" customWidth="1"/>
    <col min="7" max="7" width="14.125" style="6" customWidth="1"/>
    <col min="8" max="8" width="9.625" style="5" customWidth="1"/>
    <col min="9" max="9" width="13.875" style="6" customWidth="1"/>
    <col min="10" max="10" width="6.125" style="7" customWidth="1"/>
    <col min="11" max="11" width="31.5" style="8" customWidth="1"/>
    <col min="12" max="12" width="16.5" style="8" customWidth="1"/>
    <col min="13" max="13" width="31.125" style="8" customWidth="1"/>
    <col min="14" max="14" width="5.625" style="8" customWidth="1"/>
    <col min="15" max="15" width="19" style="8" customWidth="1"/>
    <col min="16" max="16384" width="9" style="8"/>
  </cols>
  <sheetData>
    <row r="1" ht="21.95" customHeight="1" spans="1:12">
      <c r="A1" s="9" t="s">
        <v>0</v>
      </c>
      <c r="B1" s="10"/>
      <c r="C1" s="9"/>
      <c r="D1" s="9"/>
      <c r="E1" s="9"/>
      <c r="F1" s="11"/>
      <c r="G1" s="11"/>
      <c r="H1" s="9"/>
      <c r="I1" s="11"/>
      <c r="J1" s="9"/>
      <c r="K1" s="21"/>
      <c r="L1" s="21"/>
    </row>
    <row r="2" ht="18" customHeight="1" spans="1:13">
      <c r="A2" s="12" t="s">
        <v>1</v>
      </c>
      <c r="B2" s="13">
        <v>43234</v>
      </c>
      <c r="C2" s="14" t="s">
        <v>2</v>
      </c>
      <c r="D2" s="14">
        <v>1897008.25</v>
      </c>
      <c r="E2" s="16" t="s">
        <v>3</v>
      </c>
      <c r="F2" s="17" t="s">
        <v>4</v>
      </c>
      <c r="G2" s="18" t="s">
        <v>5</v>
      </c>
      <c r="H2" s="19" t="s">
        <v>6</v>
      </c>
      <c r="I2" s="61"/>
      <c r="J2" s="62"/>
      <c r="K2" s="96" t="s">
        <v>7</v>
      </c>
      <c r="L2" s="97">
        <v>1897008.25</v>
      </c>
      <c r="M2" s="8" t="s">
        <v>8</v>
      </c>
    </row>
    <row r="3" ht="18" customHeight="1" spans="1:13">
      <c r="A3" s="12" t="s">
        <v>9</v>
      </c>
      <c r="B3" s="20"/>
      <c r="C3" s="14" t="s">
        <v>10</v>
      </c>
      <c r="D3" s="14">
        <v>2471253.59</v>
      </c>
      <c r="H3" s="21"/>
      <c r="I3" s="63"/>
      <c r="J3" s="21"/>
      <c r="K3" s="21"/>
      <c r="L3" s="97">
        <v>1276582.68</v>
      </c>
      <c r="M3" s="8" t="s">
        <v>11</v>
      </c>
    </row>
    <row r="4" ht="18" customHeight="1" spans="1:12">
      <c r="A4" s="3" t="s">
        <v>12</v>
      </c>
      <c r="H4" s="21"/>
      <c r="I4" s="63"/>
      <c r="J4" s="21"/>
      <c r="K4" s="21"/>
      <c r="L4" s="21"/>
    </row>
    <row r="5" ht="18" customHeight="1" spans="1:10">
      <c r="A5" s="22" t="s">
        <v>13</v>
      </c>
      <c r="B5" s="23" t="s">
        <v>14</v>
      </c>
      <c r="C5" s="22" t="s">
        <v>15</v>
      </c>
      <c r="D5" s="22"/>
      <c r="E5" s="22" t="s">
        <v>16</v>
      </c>
      <c r="F5" s="24"/>
      <c r="G5" s="24" t="s">
        <v>17</v>
      </c>
      <c r="H5" s="25" t="s">
        <v>18</v>
      </c>
      <c r="I5" s="24"/>
      <c r="J5" s="25"/>
    </row>
    <row r="6" ht="18" customHeight="1" spans="1:10">
      <c r="A6" s="22"/>
      <c r="B6" s="23"/>
      <c r="C6" s="22" t="s">
        <v>19</v>
      </c>
      <c r="D6" s="22" t="s">
        <v>20</v>
      </c>
      <c r="E6" s="22" t="s">
        <v>19</v>
      </c>
      <c r="F6" s="24" t="s">
        <v>20</v>
      </c>
      <c r="G6" s="24"/>
      <c r="H6" s="25" t="s">
        <v>21</v>
      </c>
      <c r="I6" s="24" t="s">
        <v>22</v>
      </c>
      <c r="J6" s="25" t="s">
        <v>23</v>
      </c>
    </row>
    <row r="7" ht="18" customHeight="1" spans="1:10">
      <c r="A7" s="26">
        <v>43301</v>
      </c>
      <c r="B7" s="81">
        <f>G7/(1+C7+E7)</f>
        <v>272727.272727273</v>
      </c>
      <c r="C7" s="28">
        <v>0.02</v>
      </c>
      <c r="D7" s="82">
        <f>G7/(1+E7+C7)*C7</f>
        <v>5454.54545454545</v>
      </c>
      <c r="E7" s="28">
        <v>0.08</v>
      </c>
      <c r="F7" s="14">
        <f>G7/(1+C7+E7)*E7</f>
        <v>21818.1818181818</v>
      </c>
      <c r="G7" s="83">
        <v>300000</v>
      </c>
      <c r="H7" s="26">
        <v>43314</v>
      </c>
      <c r="I7" s="14">
        <v>100000</v>
      </c>
      <c r="J7" s="64" t="s">
        <v>24</v>
      </c>
    </row>
    <row r="8" ht="18" customHeight="1" spans="1:10">
      <c r="A8" s="26">
        <v>43490</v>
      </c>
      <c r="B8" s="81">
        <f>G8/(1+C8+E8)</f>
        <v>1181818.18181818</v>
      </c>
      <c r="C8" s="28">
        <v>0.02</v>
      </c>
      <c r="D8" s="82">
        <f>G8/(1+E8+C8)*C8</f>
        <v>23636.3636363636</v>
      </c>
      <c r="E8" s="28">
        <v>0.08</v>
      </c>
      <c r="F8" s="14">
        <f>G8/(1+C8+E8)*E8</f>
        <v>94545.4545454545</v>
      </c>
      <c r="G8" s="83">
        <v>1300000</v>
      </c>
      <c r="H8" s="26">
        <v>43494</v>
      </c>
      <c r="I8" s="14">
        <v>1496000</v>
      </c>
      <c r="J8" s="64" t="s">
        <v>24</v>
      </c>
    </row>
    <row r="9" ht="18" customHeight="1" spans="1:10">
      <c r="A9" s="26">
        <v>44230</v>
      </c>
      <c r="B9" s="81">
        <f>G9/(1+C9+E9)</f>
        <v>799315.220183486</v>
      </c>
      <c r="C9" s="84">
        <v>0.02</v>
      </c>
      <c r="D9" s="82">
        <f>G9/(1+E9+C9)*C9</f>
        <v>15986.3044036697</v>
      </c>
      <c r="E9" s="84">
        <v>0.07</v>
      </c>
      <c r="F9" s="14">
        <f>G9/(1+C9+E9)*E9</f>
        <v>55952.065412844</v>
      </c>
      <c r="G9" s="83">
        <v>871253.59</v>
      </c>
      <c r="H9" s="26">
        <v>44234</v>
      </c>
      <c r="I9" s="14">
        <v>500000</v>
      </c>
      <c r="J9" s="64" t="s">
        <v>25</v>
      </c>
    </row>
    <row r="10" ht="18" customHeight="1" spans="1:10">
      <c r="A10" s="26"/>
      <c r="B10" s="81">
        <f>G10/(1+C10+E10)</f>
        <v>0</v>
      </c>
      <c r="C10" s="84">
        <v>0.02</v>
      </c>
      <c r="D10" s="82">
        <f>G10/(1+E10+C10)*C10</f>
        <v>0</v>
      </c>
      <c r="E10" s="84">
        <v>0.07</v>
      </c>
      <c r="F10" s="14">
        <f>G10/(1+C10+E10)*E10</f>
        <v>0</v>
      </c>
      <c r="G10" s="83"/>
      <c r="H10" s="26"/>
      <c r="I10" s="14"/>
      <c r="J10" s="64"/>
    </row>
    <row r="11" ht="18" customHeight="1" spans="1:10">
      <c r="A11" s="31" t="s">
        <v>26</v>
      </c>
      <c r="B11" s="85">
        <f t="shared" ref="B11:G11" si="0">SUM(B7:B10)</f>
        <v>2253860.67472894</v>
      </c>
      <c r="C11" s="33"/>
      <c r="D11" s="33">
        <f t="shared" si="0"/>
        <v>45077.2134945788</v>
      </c>
      <c r="E11" s="33"/>
      <c r="F11" s="86">
        <f t="shared" si="0"/>
        <v>172315.70177648</v>
      </c>
      <c r="G11" s="33">
        <f t="shared" si="0"/>
        <v>2471253.59</v>
      </c>
      <c r="H11" s="36"/>
      <c r="I11" s="33">
        <f>SUM(I7:I10)</f>
        <v>2096000</v>
      </c>
      <c r="J11" s="36"/>
    </row>
    <row r="12" ht="18" customHeight="1" spans="1:12">
      <c r="A12" s="3" t="s">
        <v>27</v>
      </c>
      <c r="G12" s="6">
        <f>D3-G11</f>
        <v>0</v>
      </c>
      <c r="I12" s="6">
        <f>G11-I11</f>
        <v>375253.59</v>
      </c>
      <c r="J12" s="5"/>
      <c r="K12" s="5"/>
      <c r="L12" s="7"/>
    </row>
    <row r="13" ht="18" customHeight="1" spans="1:15">
      <c r="A13" s="37" t="s">
        <v>28</v>
      </c>
      <c r="B13" s="23" t="s">
        <v>29</v>
      </c>
      <c r="C13" s="22" t="s">
        <v>30</v>
      </c>
      <c r="D13" s="22" t="s">
        <v>31</v>
      </c>
      <c r="E13" s="22" t="s">
        <v>19</v>
      </c>
      <c r="F13" s="24" t="s">
        <v>32</v>
      </c>
      <c r="G13" s="24" t="s">
        <v>17</v>
      </c>
      <c r="H13" s="22" t="s">
        <v>33</v>
      </c>
      <c r="I13" s="24" t="s">
        <v>34</v>
      </c>
      <c r="J13" s="22" t="s">
        <v>23</v>
      </c>
      <c r="K13" s="65" t="s">
        <v>35</v>
      </c>
      <c r="L13" s="25" t="s">
        <v>36</v>
      </c>
      <c r="M13" s="25" t="s">
        <v>37</v>
      </c>
      <c r="N13" s="25" t="s">
        <v>38</v>
      </c>
      <c r="O13" s="25" t="s">
        <v>39</v>
      </c>
    </row>
    <row r="14" s="1" customFormat="1" ht="18" customHeight="1" spans="1:15">
      <c r="A14" s="38">
        <v>43327</v>
      </c>
      <c r="B14" s="87">
        <f t="shared" ref="B14:B21" si="1">ROUND(G14/(1+E14),2)</f>
        <v>258620.69</v>
      </c>
      <c r="C14" s="39">
        <v>3</v>
      </c>
      <c r="D14" s="40" t="s">
        <v>40</v>
      </c>
      <c r="E14" s="41">
        <v>0.16</v>
      </c>
      <c r="F14" s="88">
        <f t="shared" ref="F14:F21" si="2">ROUND(G14/(1+E14)*E14,2)</f>
        <v>41379.31</v>
      </c>
      <c r="G14" s="83">
        <v>300000</v>
      </c>
      <c r="H14" s="26" t="s">
        <v>41</v>
      </c>
      <c r="I14" s="14">
        <v>98610</v>
      </c>
      <c r="J14" s="64" t="s">
        <v>42</v>
      </c>
      <c r="K14" s="66" t="s">
        <v>43</v>
      </c>
      <c r="L14" s="67" t="s">
        <v>44</v>
      </c>
      <c r="M14" s="68"/>
      <c r="N14" s="68"/>
      <c r="O14" s="67" t="s">
        <v>45</v>
      </c>
    </row>
    <row r="15" s="1" customFormat="1" ht="18" customHeight="1" spans="1:15">
      <c r="A15" s="38">
        <v>43466</v>
      </c>
      <c r="B15" s="87">
        <f t="shared" si="1"/>
        <v>1077500</v>
      </c>
      <c r="C15" s="39"/>
      <c r="D15" s="40"/>
      <c r="E15" s="43">
        <v>0.16</v>
      </c>
      <c r="F15" s="88">
        <f t="shared" si="2"/>
        <v>172400</v>
      </c>
      <c r="G15" s="83">
        <f>84000+112000*8+105000+115500+49400</f>
        <v>1249900</v>
      </c>
      <c r="H15" s="26">
        <v>43495</v>
      </c>
      <c r="I15" s="14">
        <f>G14+G15-I14</f>
        <v>1451290</v>
      </c>
      <c r="J15" s="64" t="s">
        <v>42</v>
      </c>
      <c r="K15" s="69" t="s">
        <v>43</v>
      </c>
      <c r="L15" s="70" t="s">
        <v>44</v>
      </c>
      <c r="M15" s="71"/>
      <c r="N15" s="71"/>
      <c r="O15" s="72"/>
    </row>
    <row r="16" s="2" customFormat="1" ht="18" customHeight="1" spans="1:15">
      <c r="A16" s="44"/>
      <c r="B16" s="89">
        <f t="shared" si="1"/>
        <v>82384</v>
      </c>
      <c r="C16" s="46"/>
      <c r="D16" s="47"/>
      <c r="E16" s="48"/>
      <c r="F16" s="90">
        <f t="shared" si="2"/>
        <v>0</v>
      </c>
      <c r="G16" s="91">
        <v>82384</v>
      </c>
      <c r="H16" s="51"/>
      <c r="I16" s="90"/>
      <c r="J16" s="73"/>
      <c r="K16" s="74"/>
      <c r="L16" s="75"/>
      <c r="M16" s="73"/>
      <c r="N16" s="73"/>
      <c r="O16" s="75" t="s">
        <v>46</v>
      </c>
    </row>
    <row r="17" s="1" customFormat="1" ht="18" customHeight="1" spans="1:15">
      <c r="A17" s="38"/>
      <c r="B17" s="87">
        <f t="shared" si="1"/>
        <v>0</v>
      </c>
      <c r="C17" s="39"/>
      <c r="D17" s="40"/>
      <c r="E17" s="43"/>
      <c r="F17" s="88">
        <f t="shared" si="2"/>
        <v>0</v>
      </c>
      <c r="G17" s="83"/>
      <c r="H17" s="26">
        <v>43703</v>
      </c>
      <c r="I17" s="14">
        <v>32352</v>
      </c>
      <c r="J17" s="64" t="s">
        <v>47</v>
      </c>
      <c r="K17" s="76" t="s">
        <v>4</v>
      </c>
      <c r="L17" s="72"/>
      <c r="M17" s="71"/>
      <c r="N17" s="71"/>
      <c r="O17" s="72"/>
    </row>
    <row r="18" s="1" customFormat="1" ht="18" customHeight="1" spans="1:15">
      <c r="A18" s="38">
        <v>44378</v>
      </c>
      <c r="B18" s="87">
        <f t="shared" si="1"/>
        <v>149120</v>
      </c>
      <c r="C18" s="39">
        <v>2</v>
      </c>
      <c r="D18" s="40" t="s">
        <v>48</v>
      </c>
      <c r="E18" s="43"/>
      <c r="F18" s="88">
        <f t="shared" si="2"/>
        <v>0</v>
      </c>
      <c r="G18" s="83">
        <f>69120+80000</f>
        <v>149120</v>
      </c>
      <c r="H18" s="26"/>
      <c r="I18" s="14"/>
      <c r="J18" s="64"/>
      <c r="K18" s="76" t="s">
        <v>49</v>
      </c>
      <c r="L18" s="72" t="s">
        <v>50</v>
      </c>
      <c r="M18" s="98" t="s">
        <v>51</v>
      </c>
      <c r="N18" s="71"/>
      <c r="O18" s="72"/>
    </row>
    <row r="19" s="1" customFormat="1" ht="18" customHeight="1" spans="1:15">
      <c r="A19" s="38">
        <v>44378</v>
      </c>
      <c r="B19" s="87">
        <f t="shared" si="1"/>
        <v>145000</v>
      </c>
      <c r="C19" s="39">
        <v>2</v>
      </c>
      <c r="D19" s="40" t="s">
        <v>48</v>
      </c>
      <c r="E19" s="43"/>
      <c r="F19" s="88">
        <f t="shared" si="2"/>
        <v>0</v>
      </c>
      <c r="G19" s="83">
        <f>100000+45000</f>
        <v>145000</v>
      </c>
      <c r="H19" s="26"/>
      <c r="I19" s="14"/>
      <c r="J19" s="64"/>
      <c r="K19" s="76" t="s">
        <v>52</v>
      </c>
      <c r="L19" s="72" t="s">
        <v>50</v>
      </c>
      <c r="M19" s="98" t="s">
        <v>53</v>
      </c>
      <c r="N19" s="71"/>
      <c r="O19" s="72"/>
    </row>
    <row r="20" s="1" customFormat="1" ht="18" customHeight="1" spans="1:15">
      <c r="A20" s="38">
        <v>44378</v>
      </c>
      <c r="B20" s="87">
        <f t="shared" si="1"/>
        <v>150000</v>
      </c>
      <c r="C20" s="39">
        <v>2</v>
      </c>
      <c r="D20" s="40" t="s">
        <v>54</v>
      </c>
      <c r="E20" s="43"/>
      <c r="F20" s="88">
        <f t="shared" si="2"/>
        <v>0</v>
      </c>
      <c r="G20" s="83">
        <f>50000+100000</f>
        <v>150000</v>
      </c>
      <c r="H20" s="26"/>
      <c r="I20" s="14"/>
      <c r="J20" s="64"/>
      <c r="K20" s="76" t="s">
        <v>55</v>
      </c>
      <c r="L20" s="72" t="s">
        <v>56</v>
      </c>
      <c r="M20" s="98" t="s">
        <v>57</v>
      </c>
      <c r="N20" s="71"/>
      <c r="O20" s="72"/>
    </row>
    <row r="21" s="1" customFormat="1" ht="18" customHeight="1" spans="1:15">
      <c r="A21" s="38">
        <v>44378</v>
      </c>
      <c r="B21" s="87">
        <f t="shared" si="1"/>
        <v>100000</v>
      </c>
      <c r="C21" s="39">
        <v>2</v>
      </c>
      <c r="D21" s="40" t="s">
        <v>54</v>
      </c>
      <c r="E21" s="43"/>
      <c r="F21" s="88">
        <f t="shared" si="2"/>
        <v>0</v>
      </c>
      <c r="G21" s="83">
        <f>40000+60000</f>
        <v>100000</v>
      </c>
      <c r="H21" s="26"/>
      <c r="I21" s="14"/>
      <c r="J21" s="64"/>
      <c r="K21" s="76" t="s">
        <v>58</v>
      </c>
      <c r="L21" s="72" t="s">
        <v>56</v>
      </c>
      <c r="M21" s="98" t="s">
        <v>59</v>
      </c>
      <c r="N21" s="71"/>
      <c r="O21" s="72"/>
    </row>
    <row r="22" s="1" customFormat="1" ht="18" customHeight="1" spans="1:15">
      <c r="A22" s="38"/>
      <c r="B22" s="87"/>
      <c r="C22" s="39"/>
      <c r="D22" s="40"/>
      <c r="E22" s="43"/>
      <c r="F22" s="88"/>
      <c r="G22" s="83"/>
      <c r="H22" s="26"/>
      <c r="I22" s="99">
        <v>149120</v>
      </c>
      <c r="J22" s="98" t="s">
        <v>47</v>
      </c>
      <c r="K22" s="100" t="s">
        <v>49</v>
      </c>
      <c r="L22" s="72" t="s">
        <v>50</v>
      </c>
      <c r="M22" s="98"/>
      <c r="N22" s="71"/>
      <c r="O22" s="72"/>
    </row>
    <row r="23" s="1" customFormat="1" ht="18" customHeight="1" spans="1:15">
      <c r="A23" s="38"/>
      <c r="B23" s="87"/>
      <c r="C23" s="39"/>
      <c r="D23" s="40"/>
      <c r="E23" s="43"/>
      <c r="F23" s="88"/>
      <c r="G23" s="83"/>
      <c r="H23" s="26"/>
      <c r="I23" s="14"/>
      <c r="J23" s="64"/>
      <c r="K23" s="76"/>
      <c r="L23" s="72"/>
      <c r="M23" s="98"/>
      <c r="N23" s="71"/>
      <c r="O23" s="72"/>
    </row>
    <row r="24" s="1" customFormat="1" ht="18" customHeight="1" spans="1:15">
      <c r="A24" s="38"/>
      <c r="B24" s="87"/>
      <c r="C24" s="39"/>
      <c r="D24" s="40"/>
      <c r="E24" s="43"/>
      <c r="F24" s="88"/>
      <c r="G24" s="83"/>
      <c r="H24" s="26"/>
      <c r="I24" s="14"/>
      <c r="J24" s="64"/>
      <c r="K24" s="76"/>
      <c r="L24" s="72"/>
      <c r="M24" s="98"/>
      <c r="N24" s="71"/>
      <c r="O24" s="72"/>
    </row>
    <row r="25" s="1" customFormat="1" ht="18" customHeight="1" spans="1:15">
      <c r="A25" s="38"/>
      <c r="B25" s="87"/>
      <c r="C25" s="39"/>
      <c r="D25" s="40"/>
      <c r="E25" s="43"/>
      <c r="F25" s="88"/>
      <c r="G25" s="83"/>
      <c r="H25" s="26"/>
      <c r="I25" s="14"/>
      <c r="J25" s="64"/>
      <c r="K25" s="76"/>
      <c r="L25" s="72"/>
      <c r="M25" s="98"/>
      <c r="N25" s="71"/>
      <c r="O25" s="72"/>
    </row>
    <row r="26" s="1" customFormat="1" ht="18" customHeight="1" spans="1:15">
      <c r="A26" s="38"/>
      <c r="B26" s="87"/>
      <c r="C26" s="39"/>
      <c r="D26" s="40"/>
      <c r="E26" s="43"/>
      <c r="F26" s="88"/>
      <c r="G26" s="83"/>
      <c r="H26" s="26"/>
      <c r="I26" s="14"/>
      <c r="J26" s="64"/>
      <c r="K26" s="76"/>
      <c r="L26" s="72"/>
      <c r="M26" s="98"/>
      <c r="N26" s="71"/>
      <c r="O26" s="72"/>
    </row>
    <row r="27" s="1" customFormat="1" ht="18" customHeight="1" spans="1:15">
      <c r="A27" s="38"/>
      <c r="B27" s="87">
        <f t="shared" ref="B27:B34" si="3">ROUND(G27/(1+E27),2)</f>
        <v>0</v>
      </c>
      <c r="C27" s="39"/>
      <c r="D27" s="40"/>
      <c r="E27" s="43"/>
      <c r="F27" s="88">
        <f t="shared" ref="F27:F34" si="4">ROUND(G27/(1+E27)*E27,2)</f>
        <v>0</v>
      </c>
      <c r="G27" s="83"/>
      <c r="H27" s="26"/>
      <c r="I27" s="14"/>
      <c r="J27" s="64"/>
      <c r="K27" s="76"/>
      <c r="L27" s="72"/>
      <c r="M27" s="71"/>
      <c r="N27" s="71"/>
      <c r="O27" s="72"/>
    </row>
    <row r="28" s="1" customFormat="1" ht="18" customHeight="1" spans="1:15">
      <c r="A28" s="38"/>
      <c r="B28" s="87">
        <f t="shared" si="3"/>
        <v>0</v>
      </c>
      <c r="C28" s="39"/>
      <c r="D28" s="40"/>
      <c r="E28" s="43"/>
      <c r="F28" s="88">
        <f t="shared" si="4"/>
        <v>0</v>
      </c>
      <c r="G28" s="83"/>
      <c r="H28" s="26">
        <v>44403</v>
      </c>
      <c r="I28" s="14">
        <v>33555.23</v>
      </c>
      <c r="J28" s="64" t="s">
        <v>60</v>
      </c>
      <c r="K28" s="76" t="s">
        <v>61</v>
      </c>
      <c r="L28" s="72"/>
      <c r="M28" s="71"/>
      <c r="N28" s="71"/>
      <c r="O28" s="72"/>
    </row>
    <row r="29" s="1" customFormat="1" ht="18" customHeight="1" spans="1:15">
      <c r="A29" s="38"/>
      <c r="B29" s="87">
        <f t="shared" si="3"/>
        <v>0</v>
      </c>
      <c r="C29" s="39"/>
      <c r="D29" s="40"/>
      <c r="E29" s="43"/>
      <c r="F29" s="88">
        <f t="shared" si="4"/>
        <v>0</v>
      </c>
      <c r="G29" s="83"/>
      <c r="H29" s="26">
        <v>44403</v>
      </c>
      <c r="I29" s="14">
        <v>500</v>
      </c>
      <c r="J29" s="64" t="s">
        <v>62</v>
      </c>
      <c r="K29" s="76" t="s">
        <v>63</v>
      </c>
      <c r="L29" s="72"/>
      <c r="M29" s="71"/>
      <c r="N29" s="71"/>
      <c r="O29" s="72"/>
    </row>
    <row r="30" s="1" customFormat="1" ht="18" customHeight="1" spans="1:15">
      <c r="A30" s="38"/>
      <c r="B30" s="87">
        <f t="shared" si="3"/>
        <v>0</v>
      </c>
      <c r="C30" s="39"/>
      <c r="D30" s="40"/>
      <c r="E30" s="43"/>
      <c r="F30" s="88">
        <f t="shared" si="4"/>
        <v>0</v>
      </c>
      <c r="G30" s="83"/>
      <c r="H30" s="26">
        <v>44403</v>
      </c>
      <c r="I30" s="14">
        <v>261.38</v>
      </c>
      <c r="J30" s="64" t="s">
        <v>62</v>
      </c>
      <c r="K30" s="76" t="s">
        <v>64</v>
      </c>
      <c r="L30" s="72"/>
      <c r="M30" s="71"/>
      <c r="N30" s="71"/>
      <c r="O30" s="72"/>
    </row>
    <row r="31" s="1" customFormat="1" ht="18" customHeight="1" spans="1:15">
      <c r="A31" s="38"/>
      <c r="B31" s="87">
        <f t="shared" si="3"/>
        <v>0</v>
      </c>
      <c r="C31" s="39"/>
      <c r="D31" s="40"/>
      <c r="E31" s="43"/>
      <c r="F31" s="88">
        <f t="shared" si="4"/>
        <v>0</v>
      </c>
      <c r="G31" s="83"/>
      <c r="H31" s="26"/>
      <c r="I31" s="14">
        <v>390</v>
      </c>
      <c r="J31" s="64" t="s">
        <v>62</v>
      </c>
      <c r="K31" s="76" t="s">
        <v>64</v>
      </c>
      <c r="L31" s="72"/>
      <c r="M31" s="71"/>
      <c r="N31" s="71"/>
      <c r="O31" s="72"/>
    </row>
    <row r="32" s="1" customFormat="1" ht="18" customHeight="1" spans="1:15">
      <c r="A32" s="38"/>
      <c r="B32" s="87">
        <f t="shared" si="3"/>
        <v>0</v>
      </c>
      <c r="C32" s="39"/>
      <c r="D32" s="40"/>
      <c r="E32" s="43"/>
      <c r="F32" s="88">
        <f t="shared" si="4"/>
        <v>0</v>
      </c>
      <c r="G32" s="83"/>
      <c r="H32" s="26"/>
      <c r="I32" s="14">
        <v>90</v>
      </c>
      <c r="J32" s="64" t="s">
        <v>62</v>
      </c>
      <c r="K32" s="76" t="s">
        <v>64</v>
      </c>
      <c r="L32" s="72"/>
      <c r="M32" s="71"/>
      <c r="N32" s="71"/>
      <c r="O32" s="72"/>
    </row>
    <row r="33" s="1" customFormat="1" ht="18" customHeight="1" spans="1:15">
      <c r="A33" s="38"/>
      <c r="B33" s="87">
        <f t="shared" si="3"/>
        <v>0</v>
      </c>
      <c r="C33" s="39"/>
      <c r="D33" s="40"/>
      <c r="E33" s="43"/>
      <c r="F33" s="88">
        <f t="shared" si="4"/>
        <v>0</v>
      </c>
      <c r="G33" s="83"/>
      <c r="H33" s="26"/>
      <c r="I33" s="14">
        <v>500</v>
      </c>
      <c r="J33" s="64" t="s">
        <v>62</v>
      </c>
      <c r="K33" s="76" t="s">
        <v>63</v>
      </c>
      <c r="L33" s="72"/>
      <c r="M33" s="71"/>
      <c r="N33" s="71"/>
      <c r="O33" s="72"/>
    </row>
    <row r="34" s="1" customFormat="1" ht="18" customHeight="1" spans="1:15">
      <c r="A34" s="38"/>
      <c r="B34" s="87">
        <f t="shared" si="3"/>
        <v>12768</v>
      </c>
      <c r="C34" s="39"/>
      <c r="D34" s="40"/>
      <c r="E34" s="43"/>
      <c r="F34" s="88">
        <f t="shared" si="4"/>
        <v>0</v>
      </c>
      <c r="G34" s="83">
        <f>800+11968</f>
        <v>12768</v>
      </c>
      <c r="H34" s="26"/>
      <c r="I34" s="14">
        <f>G34</f>
        <v>12768</v>
      </c>
      <c r="J34" s="64" t="s">
        <v>62</v>
      </c>
      <c r="K34" s="76" t="s">
        <v>65</v>
      </c>
      <c r="L34" s="72"/>
      <c r="M34" s="71"/>
      <c r="N34" s="71"/>
      <c r="O34" s="72"/>
    </row>
    <row r="35" ht="18" customHeight="1" spans="1:15">
      <c r="A35" s="33" t="s">
        <v>26</v>
      </c>
      <c r="B35" s="85">
        <f>SUM(B14:B34)</f>
        <v>1975392.69</v>
      </c>
      <c r="C35" s="33"/>
      <c r="D35" s="52"/>
      <c r="E35" s="52"/>
      <c r="F35" s="86">
        <f>SUM(F14:F34)</f>
        <v>213779.31</v>
      </c>
      <c r="G35" s="92">
        <f>SUM(G14:G34)</f>
        <v>2189172</v>
      </c>
      <c r="H35" s="54"/>
      <c r="I35" s="33">
        <f>SUM(I14:I34)</f>
        <v>1779436.61</v>
      </c>
      <c r="J35" s="77"/>
      <c r="K35" s="78"/>
      <c r="L35" s="36"/>
      <c r="M35" s="64"/>
      <c r="N35" s="64"/>
      <c r="O35" s="36"/>
    </row>
    <row r="36" ht="18" customHeight="1" spans="1:14">
      <c r="A36" s="55" t="s">
        <v>66</v>
      </c>
      <c r="B36" s="93">
        <f>B11*0.936</f>
        <v>2109613.59154629</v>
      </c>
      <c r="C36" s="55"/>
      <c r="D36" s="57"/>
      <c r="E36" s="57"/>
      <c r="F36" s="58"/>
      <c r="G36" s="55">
        <f>G11-G35</f>
        <v>282081.59</v>
      </c>
      <c r="H36" s="25" t="s">
        <v>67</v>
      </c>
      <c r="I36" s="33">
        <f>I11-I35</f>
        <v>316563.39</v>
      </c>
      <c r="J36" s="8"/>
      <c r="K36" s="79"/>
      <c r="M36" s="80"/>
      <c r="N36" s="80"/>
    </row>
    <row r="37" ht="18" customHeight="1" spans="1:14">
      <c r="A37" s="55" t="s">
        <v>68</v>
      </c>
      <c r="B37" s="93">
        <f>B36-B35</f>
        <v>134220.90154629</v>
      </c>
      <c r="C37" s="55"/>
      <c r="D37" s="57"/>
      <c r="E37" s="57"/>
      <c r="F37" s="58"/>
      <c r="G37" s="58"/>
      <c r="H37" s="59"/>
      <c r="I37" s="58"/>
      <c r="J37" s="8"/>
      <c r="K37" s="79"/>
      <c r="M37" s="80"/>
      <c r="N37" s="80"/>
    </row>
    <row r="38" ht="18" customHeight="1" spans="1:3">
      <c r="A38" s="3" t="s">
        <v>69</v>
      </c>
      <c r="B38" s="4">
        <f>B37*0.25</f>
        <v>33555.2253865725</v>
      </c>
      <c r="C38" s="3"/>
    </row>
    <row r="39" ht="18" customHeight="1" spans="1:9">
      <c r="A39" s="25" t="s">
        <v>70</v>
      </c>
      <c r="B39" s="23" t="s">
        <v>71</v>
      </c>
      <c r="C39" s="36"/>
      <c r="D39" s="25" t="s">
        <v>70</v>
      </c>
      <c r="E39" s="22" t="s">
        <v>19</v>
      </c>
      <c r="F39" s="24" t="s">
        <v>71</v>
      </c>
      <c r="G39" s="24" t="s">
        <v>72</v>
      </c>
      <c r="I39" s="15" t="s">
        <v>73</v>
      </c>
    </row>
    <row r="40" ht="18" customHeight="1" spans="1:9">
      <c r="A40" s="36" t="s">
        <v>74</v>
      </c>
      <c r="B40" s="20">
        <f>(B36-B35)*0.25</f>
        <v>33555.2253865725</v>
      </c>
      <c r="C40" s="36"/>
      <c r="D40" s="31" t="s">
        <v>75</v>
      </c>
      <c r="E40" s="25" t="s">
        <v>76</v>
      </c>
      <c r="F40" s="35">
        <f>F11-F35</f>
        <v>-41463.60822352</v>
      </c>
      <c r="G40" s="86"/>
      <c r="I40" s="35">
        <f>F11-F35</f>
        <v>-41463.60822352</v>
      </c>
    </row>
    <row r="41" ht="18" customHeight="1" spans="1:9">
      <c r="A41" s="36" t="s">
        <v>64</v>
      </c>
      <c r="B41" s="27">
        <f>G11*E45</f>
        <v>741.376077</v>
      </c>
      <c r="C41" s="36"/>
      <c r="D41" s="60" t="s">
        <v>77</v>
      </c>
      <c r="E41" s="16">
        <v>0.07</v>
      </c>
      <c r="F41" s="15">
        <f>F40*E41</f>
        <v>-2902.4525756464</v>
      </c>
      <c r="G41" s="14"/>
      <c r="I41" s="15">
        <f>I40*0.07</f>
        <v>-2902.4525756464</v>
      </c>
    </row>
    <row r="42" ht="18" customHeight="1" spans="1:9">
      <c r="A42" s="36" t="s">
        <v>78</v>
      </c>
      <c r="B42" s="27" t="s">
        <v>79</v>
      </c>
      <c r="C42" s="36"/>
      <c r="D42" s="60" t="s">
        <v>80</v>
      </c>
      <c r="E42" s="16">
        <v>0.03</v>
      </c>
      <c r="F42" s="15">
        <f>F40*E42</f>
        <v>-1243.9082467056</v>
      </c>
      <c r="G42" s="14"/>
      <c r="I42" s="15">
        <f>I40*E42</f>
        <v>-1243.9082467056</v>
      </c>
    </row>
    <row r="43" ht="18" customHeight="1" spans="1:9">
      <c r="A43" s="36"/>
      <c r="B43" s="27"/>
      <c r="C43" s="36"/>
      <c r="D43" s="60" t="s">
        <v>81</v>
      </c>
      <c r="E43" s="16">
        <v>0.02</v>
      </c>
      <c r="F43" s="15">
        <f>F40*E43</f>
        <v>-829.2721644704</v>
      </c>
      <c r="G43" s="14"/>
      <c r="I43" s="15">
        <f>I40*E43</f>
        <v>-829.2721644704</v>
      </c>
    </row>
    <row r="44" ht="18" customHeight="1" spans="1:9">
      <c r="A44" s="31" t="s">
        <v>82</v>
      </c>
      <c r="B44" s="32">
        <f>SUM(B40:B43)</f>
        <v>34296.6014635725</v>
      </c>
      <c r="C44" s="36"/>
      <c r="D44" s="37" t="s">
        <v>82</v>
      </c>
      <c r="E44" s="31"/>
      <c r="F44" s="35">
        <f>SUM(F40:F43)</f>
        <v>-46439.2412103424</v>
      </c>
      <c r="G44" s="86"/>
      <c r="I44" s="101">
        <f>SUM(I40:I43)</f>
        <v>-46439.2412103424</v>
      </c>
    </row>
    <row r="45" ht="18" customHeight="1" spans="3:9">
      <c r="C45" s="3"/>
      <c r="D45" s="14" t="s">
        <v>64</v>
      </c>
      <c r="E45" s="94">
        <v>0.0003</v>
      </c>
      <c r="F45" s="15">
        <f>G11*E45</f>
        <v>741.376077</v>
      </c>
      <c r="G45" s="14">
        <f>G8*E45</f>
        <v>390</v>
      </c>
      <c r="I45" s="15">
        <f>G9*E45</f>
        <v>261.376077</v>
      </c>
    </row>
    <row r="46" ht="18" customHeight="1" spans="3:9">
      <c r="C46" s="3"/>
      <c r="D46" s="95" t="s">
        <v>78</v>
      </c>
      <c r="E46" s="94">
        <v>0.0006</v>
      </c>
      <c r="F46" s="15">
        <f>B11*E46</f>
        <v>1352.31640483736</v>
      </c>
      <c r="G46" s="33"/>
      <c r="I46" s="15">
        <v>0</v>
      </c>
    </row>
    <row r="47" ht="18" customHeight="1" spans="3:9">
      <c r="C47" s="3"/>
      <c r="D47" s="33" t="s">
        <v>74</v>
      </c>
      <c r="E47" s="52">
        <v>0.016</v>
      </c>
      <c r="F47" s="34">
        <f>G11*E47</f>
        <v>39540.05744</v>
      </c>
      <c r="G47" s="33">
        <f>G7*E47</f>
        <v>4800</v>
      </c>
      <c r="I47" s="34">
        <f>G9*E47</f>
        <v>13940.05744</v>
      </c>
    </row>
    <row r="48" ht="18" customHeight="1" spans="3:3">
      <c r="C48" s="3"/>
    </row>
    <row r="49" ht="18" customHeight="1" spans="3:3">
      <c r="C49" s="3"/>
    </row>
    <row r="50" ht="18" customHeight="1" spans="3:3">
      <c r="C50" s="3"/>
    </row>
    <row r="51" spans="3:3">
      <c r="C51" s="3"/>
    </row>
    <row r="52" spans="3:3">
      <c r="C52" s="3"/>
    </row>
    <row r="53" spans="3:3">
      <c r="C53" s="3"/>
    </row>
    <row r="54" spans="3:3">
      <c r="C54" s="3"/>
    </row>
    <row r="55" spans="3:3">
      <c r="C55" s="3"/>
    </row>
    <row r="56" spans="3:3">
      <c r="C56" s="3"/>
    </row>
    <row r="57" spans="3:3">
      <c r="C57" s="3"/>
    </row>
    <row r="58" spans="3:3">
      <c r="C58" s="3"/>
    </row>
    <row r="59" spans="3:3">
      <c r="C59" s="3"/>
    </row>
    <row r="60" spans="3:3">
      <c r="C60" s="3"/>
    </row>
    <row r="61" spans="3:3">
      <c r="C61" s="3"/>
    </row>
    <row r="62" spans="3:3">
      <c r="C62" s="3"/>
    </row>
    <row r="63" spans="3:3">
      <c r="C63" s="3"/>
    </row>
    <row r="64" spans="3:3">
      <c r="C64" s="3"/>
    </row>
    <row r="65" spans="3:3">
      <c r="C65" s="3"/>
    </row>
    <row r="66" spans="3:3">
      <c r="C66" s="3"/>
    </row>
  </sheetData>
  <autoFilter ref="A13:O47">
    <extLst/>
  </autoFilter>
  <mergeCells count="8">
    <mergeCell ref="A1:J1"/>
    <mergeCell ref="H2:J2"/>
    <mergeCell ref="C5:D5"/>
    <mergeCell ref="E5:F5"/>
    <mergeCell ref="H5:J5"/>
    <mergeCell ref="A5:A6"/>
    <mergeCell ref="B5:B6"/>
    <mergeCell ref="G5:G6"/>
  </mergeCells>
  <pageMargins left="0.235416666666667" right="0.235416666666667" top="0.313888888888889" bottom="0.15625" header="0.313888888888889" footer="0.313888888888889"/>
  <pageSetup paperSize="9" orientation="landscape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8"/>
  <sheetViews>
    <sheetView topLeftCell="A7" workbookViewId="0">
      <selection activeCell="H18" sqref="H18"/>
    </sheetView>
  </sheetViews>
  <sheetFormatPr defaultColWidth="9" defaultRowHeight="11.25"/>
  <cols>
    <col min="1" max="1" width="10.75" style="3" customWidth="1"/>
    <col min="2" max="2" width="13.125" style="4" customWidth="1"/>
    <col min="3" max="3" width="6" style="5" customWidth="1"/>
    <col min="4" max="4" width="13.375" style="5" customWidth="1"/>
    <col min="5" max="5" width="6" style="5" customWidth="1"/>
    <col min="6" max="6" width="13.125" style="6" customWidth="1"/>
    <col min="7" max="7" width="14.125" style="6" customWidth="1"/>
    <col min="8" max="8" width="9.625" style="5" customWidth="1"/>
    <col min="9" max="9" width="13.875" style="6" customWidth="1"/>
    <col min="10" max="10" width="6.125" style="7" customWidth="1"/>
    <col min="11" max="11" width="31.5" style="8" customWidth="1"/>
    <col min="12" max="12" width="12.75" style="8" customWidth="1"/>
    <col min="13" max="13" width="6" style="8" customWidth="1"/>
    <col min="14" max="14" width="5.625" style="8" customWidth="1"/>
    <col min="15" max="15" width="15.125" style="8" customWidth="1"/>
    <col min="16" max="16384" width="9" style="8"/>
  </cols>
  <sheetData>
    <row r="1" ht="21.95" customHeight="1" spans="1:12">
      <c r="A1" s="9" t="s">
        <v>83</v>
      </c>
      <c r="B1" s="10"/>
      <c r="C1" s="9"/>
      <c r="D1" s="9"/>
      <c r="E1" s="9"/>
      <c r="F1" s="11"/>
      <c r="G1" s="11"/>
      <c r="H1" s="9"/>
      <c r="I1" s="11"/>
      <c r="J1" s="9"/>
      <c r="K1" s="21"/>
      <c r="L1" s="21"/>
    </row>
    <row r="2" ht="18" customHeight="1" spans="1:12">
      <c r="A2" s="12" t="s">
        <v>1</v>
      </c>
      <c r="B2" s="13">
        <v>43234</v>
      </c>
      <c r="C2" s="14" t="s">
        <v>2</v>
      </c>
      <c r="D2" s="15">
        <v>1897008.25</v>
      </c>
      <c r="E2" s="16" t="s">
        <v>3</v>
      </c>
      <c r="F2" s="17" t="s">
        <v>4</v>
      </c>
      <c r="G2" s="18" t="s">
        <v>5</v>
      </c>
      <c r="H2" s="19" t="s">
        <v>6</v>
      </c>
      <c r="I2" s="61"/>
      <c r="J2" s="62"/>
      <c r="K2" s="21"/>
      <c r="L2" s="21"/>
    </row>
    <row r="3" ht="18" customHeight="1" spans="1:12">
      <c r="A3" s="12" t="s">
        <v>9</v>
      </c>
      <c r="B3" s="20"/>
      <c r="C3" s="14" t="s">
        <v>10</v>
      </c>
      <c r="D3" s="14"/>
      <c r="H3" s="21"/>
      <c r="I3" s="63"/>
      <c r="J3" s="21"/>
      <c r="K3" s="21"/>
      <c r="L3" s="21"/>
    </row>
    <row r="4" ht="18" customHeight="1" spans="1:12">
      <c r="A4" s="3" t="s">
        <v>12</v>
      </c>
      <c r="H4" s="21"/>
      <c r="I4" s="63"/>
      <c r="J4" s="21"/>
      <c r="K4" s="21"/>
      <c r="L4" s="21"/>
    </row>
    <row r="5" ht="18" customHeight="1" spans="1:10">
      <c r="A5" s="22" t="s">
        <v>13</v>
      </c>
      <c r="B5" s="23" t="s">
        <v>14</v>
      </c>
      <c r="C5" s="22" t="s">
        <v>15</v>
      </c>
      <c r="D5" s="22"/>
      <c r="E5" s="22" t="s">
        <v>16</v>
      </c>
      <c r="F5" s="24"/>
      <c r="G5" s="24" t="s">
        <v>17</v>
      </c>
      <c r="H5" s="25" t="s">
        <v>18</v>
      </c>
      <c r="I5" s="24"/>
      <c r="J5" s="25"/>
    </row>
    <row r="6" ht="18" customHeight="1" spans="1:10">
      <c r="A6" s="22"/>
      <c r="B6" s="23"/>
      <c r="C6" s="22" t="s">
        <v>19</v>
      </c>
      <c r="D6" s="22" t="s">
        <v>20</v>
      </c>
      <c r="E6" s="22" t="s">
        <v>19</v>
      </c>
      <c r="F6" s="24" t="s">
        <v>20</v>
      </c>
      <c r="G6" s="24"/>
      <c r="H6" s="25" t="s">
        <v>21</v>
      </c>
      <c r="I6" s="24" t="s">
        <v>22</v>
      </c>
      <c r="J6" s="25" t="s">
        <v>23</v>
      </c>
    </row>
    <row r="7" ht="18" customHeight="1" spans="1:10">
      <c r="A7" s="26">
        <v>43301</v>
      </c>
      <c r="B7" s="27">
        <f>G7/(1+C7+E7)</f>
        <v>272727.272727273</v>
      </c>
      <c r="C7" s="28">
        <v>0.02</v>
      </c>
      <c r="D7" s="29">
        <f>G7/(1+E7+C7)*C7</f>
        <v>5454.54545454545</v>
      </c>
      <c r="E7" s="28">
        <v>0.08</v>
      </c>
      <c r="F7" s="15">
        <f>G7/(1+C7+E7)*E7</f>
        <v>21818.1818181818</v>
      </c>
      <c r="G7" s="30">
        <v>300000</v>
      </c>
      <c r="H7" s="26">
        <v>43314</v>
      </c>
      <c r="I7" s="15">
        <v>100000</v>
      </c>
      <c r="J7" s="64" t="s">
        <v>24</v>
      </c>
    </row>
    <row r="8" ht="18" customHeight="1" spans="1:10">
      <c r="A8" s="26">
        <v>43490</v>
      </c>
      <c r="B8" s="27">
        <f>G8/(1+C8+E8)</f>
        <v>1181818.18181818</v>
      </c>
      <c r="C8" s="28">
        <v>0.02</v>
      </c>
      <c r="D8" s="29">
        <f>G8/(1+E8+C8)*C8</f>
        <v>23636.3636363636</v>
      </c>
      <c r="E8" s="28">
        <v>0.08</v>
      </c>
      <c r="F8" s="15">
        <f>G8/(1+C8+E8)*E8</f>
        <v>94545.4545454545</v>
      </c>
      <c r="G8" s="30">
        <v>1300000</v>
      </c>
      <c r="H8" s="26">
        <v>43494</v>
      </c>
      <c r="I8" s="15">
        <v>1496000</v>
      </c>
      <c r="J8" s="64" t="s">
        <v>24</v>
      </c>
    </row>
    <row r="9" ht="18" customHeight="1" spans="1:10">
      <c r="A9" s="26"/>
      <c r="B9" s="27"/>
      <c r="C9" s="28"/>
      <c r="D9" s="29"/>
      <c r="E9" s="28"/>
      <c r="F9" s="15"/>
      <c r="G9" s="30"/>
      <c r="H9" s="26"/>
      <c r="I9" s="15"/>
      <c r="J9" s="64"/>
    </row>
    <row r="10" ht="18" customHeight="1" spans="1:10">
      <c r="A10" s="26"/>
      <c r="B10" s="27"/>
      <c r="C10" s="28"/>
      <c r="D10" s="29"/>
      <c r="E10" s="28"/>
      <c r="F10" s="15"/>
      <c r="G10" s="30"/>
      <c r="H10" s="26"/>
      <c r="I10" s="15"/>
      <c r="J10" s="64"/>
    </row>
    <row r="11" ht="18" customHeight="1" spans="1:10">
      <c r="A11" s="31" t="s">
        <v>26</v>
      </c>
      <c r="B11" s="32">
        <f>SUM(B7:B10)</f>
        <v>1454545.45454545</v>
      </c>
      <c r="C11" s="33"/>
      <c r="D11" s="34">
        <f t="shared" ref="D11:G11" si="0">SUM(D7:D10)</f>
        <v>29090.9090909091</v>
      </c>
      <c r="E11" s="33"/>
      <c r="F11" s="35">
        <f t="shared" si="0"/>
        <v>116363.636363636</v>
      </c>
      <c r="G11" s="34">
        <f t="shared" si="0"/>
        <v>1600000</v>
      </c>
      <c r="H11" s="36"/>
      <c r="I11" s="34">
        <f>SUM(I7:I10)</f>
        <v>1596000</v>
      </c>
      <c r="J11" s="36"/>
    </row>
    <row r="12" ht="18" customHeight="1" spans="1:12">
      <c r="A12" s="3" t="s">
        <v>27</v>
      </c>
      <c r="J12" s="5"/>
      <c r="K12" s="5"/>
      <c r="L12" s="7"/>
    </row>
    <row r="13" ht="18" customHeight="1" spans="1:15">
      <c r="A13" s="37" t="s">
        <v>28</v>
      </c>
      <c r="B13" s="23" t="s">
        <v>29</v>
      </c>
      <c r="C13" s="22" t="s">
        <v>30</v>
      </c>
      <c r="D13" s="22" t="s">
        <v>31</v>
      </c>
      <c r="E13" s="22" t="s">
        <v>19</v>
      </c>
      <c r="F13" s="24" t="s">
        <v>32</v>
      </c>
      <c r="G13" s="24" t="s">
        <v>17</v>
      </c>
      <c r="H13" s="22" t="s">
        <v>33</v>
      </c>
      <c r="I13" s="24" t="s">
        <v>34</v>
      </c>
      <c r="J13" s="22" t="s">
        <v>23</v>
      </c>
      <c r="K13" s="65" t="s">
        <v>35</v>
      </c>
      <c r="L13" s="25" t="s">
        <v>36</v>
      </c>
      <c r="M13" s="25" t="s">
        <v>37</v>
      </c>
      <c r="N13" s="25" t="s">
        <v>38</v>
      </c>
      <c r="O13" s="25" t="s">
        <v>39</v>
      </c>
    </row>
    <row r="14" s="1" customFormat="1" ht="18" customHeight="1" spans="1:15">
      <c r="A14" s="38">
        <v>43327</v>
      </c>
      <c r="B14" s="20">
        <f>ROUND(G14/(1+E14),2)</f>
        <v>258620.69</v>
      </c>
      <c r="C14" s="39">
        <v>3</v>
      </c>
      <c r="D14" s="40" t="s">
        <v>40</v>
      </c>
      <c r="E14" s="41">
        <v>0.16</v>
      </c>
      <c r="F14" s="42">
        <f>ROUND(G14/(1+E14)*E14,2)</f>
        <v>41379.31</v>
      </c>
      <c r="G14" s="30">
        <v>300000</v>
      </c>
      <c r="H14" s="26" t="s">
        <v>41</v>
      </c>
      <c r="I14" s="15">
        <v>98610</v>
      </c>
      <c r="J14" s="64" t="s">
        <v>42</v>
      </c>
      <c r="K14" s="66" t="s">
        <v>43</v>
      </c>
      <c r="L14" s="67" t="s">
        <v>44</v>
      </c>
      <c r="M14" s="68"/>
      <c r="N14" s="68"/>
      <c r="O14" s="67" t="s">
        <v>45</v>
      </c>
    </row>
    <row r="15" s="1" customFormat="1" ht="18" customHeight="1" spans="1:15">
      <c r="A15" s="38">
        <v>43466</v>
      </c>
      <c r="B15" s="20">
        <f t="shared" ref="B15:B26" si="1">ROUND(G15/(1+E15),2)</f>
        <v>1077500</v>
      </c>
      <c r="C15" s="39"/>
      <c r="D15" s="40"/>
      <c r="E15" s="43">
        <v>0.16</v>
      </c>
      <c r="F15" s="42">
        <f t="shared" ref="F15:F26" si="2">ROUND(G15/(1+E15)*E15,2)</f>
        <v>172400</v>
      </c>
      <c r="G15" s="30">
        <f>84000+112000*8+105000+115500+49400</f>
        <v>1249900</v>
      </c>
      <c r="H15" s="26">
        <v>43495</v>
      </c>
      <c r="I15" s="15">
        <f>G14+G15-I14</f>
        <v>1451290</v>
      </c>
      <c r="J15" s="64" t="s">
        <v>42</v>
      </c>
      <c r="K15" s="69" t="s">
        <v>43</v>
      </c>
      <c r="L15" s="70" t="s">
        <v>44</v>
      </c>
      <c r="M15" s="71"/>
      <c r="N15" s="71"/>
      <c r="O15" s="72"/>
    </row>
    <row r="16" s="2" customFormat="1" ht="18" customHeight="1" spans="1:16">
      <c r="A16" s="44"/>
      <c r="B16" s="45">
        <f t="shared" si="1"/>
        <v>82384</v>
      </c>
      <c r="C16" s="46"/>
      <c r="D16" s="47"/>
      <c r="E16" s="48"/>
      <c r="F16" s="49">
        <f t="shared" si="2"/>
        <v>0</v>
      </c>
      <c r="G16" s="50">
        <v>82384</v>
      </c>
      <c r="H16" s="51"/>
      <c r="I16" s="49"/>
      <c r="J16" s="73"/>
      <c r="K16" s="74"/>
      <c r="L16" s="75"/>
      <c r="M16" s="73"/>
      <c r="N16" s="73"/>
      <c r="O16" s="75"/>
      <c r="P16" s="2" t="s">
        <v>46</v>
      </c>
    </row>
    <row r="17" s="1" customFormat="1" ht="18" customHeight="1" spans="1:15">
      <c r="A17" s="38"/>
      <c r="B17" s="20">
        <f t="shared" si="1"/>
        <v>0</v>
      </c>
      <c r="C17" s="39"/>
      <c r="D17" s="40"/>
      <c r="E17" s="43"/>
      <c r="F17" s="42">
        <f t="shared" si="2"/>
        <v>0</v>
      </c>
      <c r="G17" s="30"/>
      <c r="H17" s="26">
        <v>43703</v>
      </c>
      <c r="I17" s="15">
        <v>32352</v>
      </c>
      <c r="J17" s="64" t="s">
        <v>47</v>
      </c>
      <c r="K17" s="76" t="s">
        <v>4</v>
      </c>
      <c r="L17" s="72"/>
      <c r="M17" s="71"/>
      <c r="N17" s="71"/>
      <c r="O17" s="72"/>
    </row>
    <row r="18" s="1" customFormat="1" ht="18" customHeight="1" spans="1:15">
      <c r="A18" s="38"/>
      <c r="B18" s="20">
        <f t="shared" si="1"/>
        <v>0</v>
      </c>
      <c r="C18" s="39"/>
      <c r="D18" s="40"/>
      <c r="E18" s="43"/>
      <c r="F18" s="42">
        <f t="shared" si="2"/>
        <v>0</v>
      </c>
      <c r="G18" s="30"/>
      <c r="H18" s="26"/>
      <c r="I18" s="15"/>
      <c r="J18" s="64"/>
      <c r="K18" s="76"/>
      <c r="L18" s="72"/>
      <c r="M18" s="71"/>
      <c r="N18" s="71"/>
      <c r="O18" s="72"/>
    </row>
    <row r="19" s="1" customFormat="1" ht="18" customHeight="1" spans="1:15">
      <c r="A19" s="38"/>
      <c r="B19" s="20">
        <f t="shared" si="1"/>
        <v>0</v>
      </c>
      <c r="C19" s="39"/>
      <c r="D19" s="40"/>
      <c r="E19" s="43"/>
      <c r="F19" s="42">
        <f t="shared" si="2"/>
        <v>0</v>
      </c>
      <c r="G19" s="30"/>
      <c r="H19" s="26"/>
      <c r="I19" s="15"/>
      <c r="J19" s="64"/>
      <c r="K19" s="76"/>
      <c r="L19" s="72"/>
      <c r="M19" s="71"/>
      <c r="N19" s="71"/>
      <c r="O19" s="72"/>
    </row>
    <row r="20" s="1" customFormat="1" ht="18" customHeight="1" spans="1:15">
      <c r="A20" s="38"/>
      <c r="B20" s="20">
        <f t="shared" si="1"/>
        <v>0</v>
      </c>
      <c r="C20" s="39"/>
      <c r="D20" s="40"/>
      <c r="E20" s="43"/>
      <c r="F20" s="42">
        <f t="shared" si="2"/>
        <v>0</v>
      </c>
      <c r="G20" s="30"/>
      <c r="H20" s="26"/>
      <c r="I20" s="15"/>
      <c r="J20" s="64"/>
      <c r="K20" s="76"/>
      <c r="L20" s="72"/>
      <c r="M20" s="71"/>
      <c r="N20" s="71"/>
      <c r="O20" s="72"/>
    </row>
    <row r="21" s="1" customFormat="1" ht="18" customHeight="1" spans="1:15">
      <c r="A21" s="38"/>
      <c r="B21" s="20">
        <f t="shared" si="1"/>
        <v>0</v>
      </c>
      <c r="C21" s="39"/>
      <c r="D21" s="40"/>
      <c r="E21" s="43"/>
      <c r="F21" s="42">
        <f t="shared" si="2"/>
        <v>0</v>
      </c>
      <c r="G21" s="30"/>
      <c r="H21" s="26"/>
      <c r="I21" s="15"/>
      <c r="J21" s="64"/>
      <c r="K21" s="76"/>
      <c r="L21" s="72"/>
      <c r="M21" s="71"/>
      <c r="N21" s="71"/>
      <c r="O21" s="72"/>
    </row>
    <row r="22" s="1" customFormat="1" ht="18" customHeight="1" spans="1:15">
      <c r="A22" s="38"/>
      <c r="B22" s="20">
        <f t="shared" si="1"/>
        <v>0</v>
      </c>
      <c r="C22" s="39"/>
      <c r="D22" s="40"/>
      <c r="E22" s="43"/>
      <c r="F22" s="42">
        <f t="shared" si="2"/>
        <v>0</v>
      </c>
      <c r="G22" s="30"/>
      <c r="H22" s="26"/>
      <c r="I22" s="15"/>
      <c r="J22" s="64"/>
      <c r="K22" s="76"/>
      <c r="L22" s="72"/>
      <c r="M22" s="71"/>
      <c r="N22" s="71"/>
      <c r="O22" s="72"/>
    </row>
    <row r="23" s="1" customFormat="1" ht="18" customHeight="1" spans="1:15">
      <c r="A23" s="38"/>
      <c r="B23" s="20">
        <f t="shared" si="1"/>
        <v>0</v>
      </c>
      <c r="C23" s="39"/>
      <c r="D23" s="40"/>
      <c r="E23" s="43"/>
      <c r="F23" s="42">
        <f t="shared" si="2"/>
        <v>0</v>
      </c>
      <c r="G23" s="30"/>
      <c r="H23" s="26"/>
      <c r="I23" s="15">
        <v>390</v>
      </c>
      <c r="J23" s="64" t="s">
        <v>62</v>
      </c>
      <c r="K23" s="76" t="s">
        <v>64</v>
      </c>
      <c r="L23" s="72"/>
      <c r="M23" s="71"/>
      <c r="N23" s="71"/>
      <c r="O23" s="72"/>
    </row>
    <row r="24" s="1" customFormat="1" ht="18" customHeight="1" spans="1:15">
      <c r="A24" s="38"/>
      <c r="B24" s="20">
        <f t="shared" si="1"/>
        <v>0</v>
      </c>
      <c r="C24" s="39"/>
      <c r="D24" s="40"/>
      <c r="E24" s="43"/>
      <c r="F24" s="42">
        <f t="shared" si="2"/>
        <v>0</v>
      </c>
      <c r="G24" s="30"/>
      <c r="H24" s="26"/>
      <c r="I24" s="15">
        <v>90</v>
      </c>
      <c r="J24" s="64" t="s">
        <v>62</v>
      </c>
      <c r="K24" s="76" t="s">
        <v>64</v>
      </c>
      <c r="L24" s="72"/>
      <c r="M24" s="71"/>
      <c r="N24" s="71"/>
      <c r="O24" s="72"/>
    </row>
    <row r="25" s="1" customFormat="1" ht="18" customHeight="1" spans="1:15">
      <c r="A25" s="38"/>
      <c r="B25" s="20">
        <f t="shared" si="1"/>
        <v>0</v>
      </c>
      <c r="C25" s="39"/>
      <c r="D25" s="40"/>
      <c r="E25" s="43"/>
      <c r="F25" s="42">
        <f t="shared" si="2"/>
        <v>0</v>
      </c>
      <c r="G25" s="30"/>
      <c r="H25" s="26"/>
      <c r="I25" s="15">
        <v>500</v>
      </c>
      <c r="J25" s="64" t="s">
        <v>62</v>
      </c>
      <c r="K25" s="76" t="s">
        <v>84</v>
      </c>
      <c r="L25" s="72"/>
      <c r="M25" s="71"/>
      <c r="N25" s="71"/>
      <c r="O25" s="72"/>
    </row>
    <row r="26" s="1" customFormat="1" ht="18" customHeight="1" spans="1:15">
      <c r="A26" s="38"/>
      <c r="B26" s="20">
        <f t="shared" si="1"/>
        <v>12768</v>
      </c>
      <c r="C26" s="39"/>
      <c r="D26" s="40"/>
      <c r="E26" s="43"/>
      <c r="F26" s="42">
        <f t="shared" si="2"/>
        <v>0</v>
      </c>
      <c r="G26" s="30">
        <f>800+11968</f>
        <v>12768</v>
      </c>
      <c r="H26" s="26"/>
      <c r="I26" s="15">
        <f>G26</f>
        <v>12768</v>
      </c>
      <c r="J26" s="64" t="s">
        <v>62</v>
      </c>
      <c r="K26" s="76" t="s">
        <v>65</v>
      </c>
      <c r="L26" s="72"/>
      <c r="M26" s="71"/>
      <c r="N26" s="71"/>
      <c r="O26" s="72"/>
    </row>
    <row r="27" ht="18" customHeight="1" spans="1:15">
      <c r="A27" s="33" t="s">
        <v>26</v>
      </c>
      <c r="B27" s="32">
        <f>SUM(B14:B26)</f>
        <v>1431272.69</v>
      </c>
      <c r="C27" s="33"/>
      <c r="D27" s="52"/>
      <c r="E27" s="52"/>
      <c r="F27" s="35">
        <f>SUM(F14:F26)</f>
        <v>213779.31</v>
      </c>
      <c r="G27" s="53">
        <f>SUM(G14:G26)</f>
        <v>1645052</v>
      </c>
      <c r="H27" s="54"/>
      <c r="I27" s="34">
        <f>SUM(I14:I26)</f>
        <v>1596000</v>
      </c>
      <c r="J27" s="77"/>
      <c r="K27" s="78"/>
      <c r="L27" s="36"/>
      <c r="M27" s="64"/>
      <c r="N27" s="64"/>
      <c r="O27" s="36"/>
    </row>
    <row r="28" ht="18" customHeight="1" spans="1:14">
      <c r="A28" s="55" t="s">
        <v>66</v>
      </c>
      <c r="B28" s="56">
        <f>B11*0.984</f>
        <v>1431272.72727273</v>
      </c>
      <c r="C28" s="55"/>
      <c r="D28" s="57"/>
      <c r="E28" s="57"/>
      <c r="F28" s="58"/>
      <c r="G28" s="58">
        <f>G11-G27</f>
        <v>-45052</v>
      </c>
      <c r="H28" s="25" t="s">
        <v>67</v>
      </c>
      <c r="I28" s="34">
        <f>I11-I27</f>
        <v>0</v>
      </c>
      <c r="J28" s="8"/>
      <c r="K28" s="79"/>
      <c r="M28" s="80"/>
      <c r="N28" s="80"/>
    </row>
    <row r="29" ht="18" customHeight="1" spans="1:14">
      <c r="A29" s="55" t="s">
        <v>68</v>
      </c>
      <c r="B29" s="56">
        <f>B28-B27</f>
        <v>0.0372727271169424</v>
      </c>
      <c r="C29" s="55"/>
      <c r="D29" s="57"/>
      <c r="E29" s="57"/>
      <c r="F29" s="58"/>
      <c r="G29" s="58"/>
      <c r="H29" s="59"/>
      <c r="I29" s="58"/>
      <c r="J29" s="8"/>
      <c r="K29" s="79"/>
      <c r="M29" s="80"/>
      <c r="N29" s="80"/>
    </row>
    <row r="30" ht="18" customHeight="1" spans="1:3">
      <c r="A30" s="3" t="s">
        <v>69</v>
      </c>
      <c r="C30" s="3"/>
    </row>
    <row r="31" ht="18" customHeight="1" spans="1:7">
      <c r="A31" s="25" t="s">
        <v>70</v>
      </c>
      <c r="B31" s="23" t="s">
        <v>71</v>
      </c>
      <c r="C31" s="36"/>
      <c r="D31" s="25" t="s">
        <v>70</v>
      </c>
      <c r="E31" s="22" t="s">
        <v>19</v>
      </c>
      <c r="F31" s="24" t="s">
        <v>71</v>
      </c>
      <c r="G31" s="24" t="s">
        <v>72</v>
      </c>
    </row>
    <row r="32" ht="18" customHeight="1" spans="1:7">
      <c r="A32" s="36" t="s">
        <v>74</v>
      </c>
      <c r="B32" s="20">
        <f>(B28-B27)*0.25</f>
        <v>0.0093181817792356</v>
      </c>
      <c r="C32" s="36"/>
      <c r="D32" s="31" t="s">
        <v>75</v>
      </c>
      <c r="E32" s="25" t="s">
        <v>76</v>
      </c>
      <c r="F32" s="35">
        <f>F11-F27+B16</f>
        <v>-15031.6736363636</v>
      </c>
      <c r="G32" s="35"/>
    </row>
    <row r="33" ht="18" customHeight="1" spans="1:7">
      <c r="A33" s="36" t="s">
        <v>64</v>
      </c>
      <c r="B33" s="27">
        <f>G11*E37</f>
        <v>480</v>
      </c>
      <c r="C33" s="36"/>
      <c r="D33" s="60" t="s">
        <v>77</v>
      </c>
      <c r="E33" s="16">
        <v>0.05</v>
      </c>
      <c r="F33" s="15">
        <f>F32*E33</f>
        <v>-751.583681818182</v>
      </c>
      <c r="G33" s="15"/>
    </row>
    <row r="34" ht="18" customHeight="1" spans="1:7">
      <c r="A34" s="36" t="s">
        <v>78</v>
      </c>
      <c r="B34" s="27" t="s">
        <v>79</v>
      </c>
      <c r="C34" s="36"/>
      <c r="D34" s="60" t="s">
        <v>80</v>
      </c>
      <c r="E34" s="16">
        <v>0.03</v>
      </c>
      <c r="F34" s="15">
        <f>F32*E34</f>
        <v>-450.950209090909</v>
      </c>
      <c r="G34" s="15"/>
    </row>
    <row r="35" ht="18" customHeight="1" spans="1:7">
      <c r="A35" s="36"/>
      <c r="B35" s="27"/>
      <c r="C35" s="36"/>
      <c r="D35" s="60" t="s">
        <v>81</v>
      </c>
      <c r="E35" s="16">
        <v>0.02</v>
      </c>
      <c r="F35" s="15">
        <f>F32*E35</f>
        <v>-300.633472727273</v>
      </c>
      <c r="G35" s="15"/>
    </row>
    <row r="36" ht="18" customHeight="1" spans="1:7">
      <c r="A36" s="31" t="s">
        <v>82</v>
      </c>
      <c r="B36" s="32">
        <f>SUM(B32:B35)</f>
        <v>480.009318181779</v>
      </c>
      <c r="C36" s="36"/>
      <c r="D36" s="37" t="s">
        <v>82</v>
      </c>
      <c r="E36" s="31"/>
      <c r="F36" s="35">
        <f>SUM(F32:F35)</f>
        <v>-16534.841</v>
      </c>
      <c r="G36" s="35"/>
    </row>
    <row r="37" ht="18" customHeight="1" spans="3:7">
      <c r="C37" s="3"/>
      <c r="D37" s="14" t="s">
        <v>64</v>
      </c>
      <c r="E37" s="17">
        <v>0.0003</v>
      </c>
      <c r="F37" s="15">
        <f>G11*E37</f>
        <v>480</v>
      </c>
      <c r="G37" s="15">
        <f>G8*E37</f>
        <v>390</v>
      </c>
    </row>
    <row r="38" ht="18" customHeight="1" spans="3:7">
      <c r="C38" s="3"/>
      <c r="D38" s="22"/>
      <c r="E38" s="33"/>
      <c r="F38" s="34"/>
      <c r="G38" s="34"/>
    </row>
    <row r="39" ht="18" customHeight="1" spans="3:7">
      <c r="C39" s="3"/>
      <c r="D39" s="33" t="s">
        <v>74</v>
      </c>
      <c r="E39" s="52">
        <v>0.016</v>
      </c>
      <c r="F39" s="34">
        <f>B11*E39</f>
        <v>23272.7272727273</v>
      </c>
      <c r="G39" s="34">
        <f>B8*E39</f>
        <v>18909.0909090909</v>
      </c>
    </row>
    <row r="40" ht="18" customHeight="1" spans="3:3">
      <c r="C40" s="3"/>
    </row>
    <row r="41" ht="18" customHeight="1" spans="3:3">
      <c r="C41" s="3"/>
    </row>
    <row r="42" ht="18" customHeight="1" spans="3:3">
      <c r="C42" s="3"/>
    </row>
    <row r="43" spans="3:3">
      <c r="C43" s="3"/>
    </row>
    <row r="44" spans="3:3">
      <c r="C44" s="3"/>
    </row>
    <row r="45" spans="3:3">
      <c r="C45" s="3"/>
    </row>
    <row r="46" spans="3:3">
      <c r="C46" s="3"/>
    </row>
    <row r="47" spans="3:3">
      <c r="C47" s="3"/>
    </row>
    <row r="48" spans="3:3">
      <c r="C48" s="3"/>
    </row>
    <row r="49" spans="3:3">
      <c r="C49" s="3"/>
    </row>
    <row r="50" spans="3:3">
      <c r="C50" s="3"/>
    </row>
    <row r="51" spans="3:3">
      <c r="C51" s="3"/>
    </row>
    <row r="52" spans="3:3">
      <c r="C52" s="3"/>
    </row>
    <row r="53" spans="3:3">
      <c r="C53" s="3"/>
    </row>
    <row r="54" spans="3:3">
      <c r="C54" s="3"/>
    </row>
    <row r="55" spans="3:3">
      <c r="C55" s="3"/>
    </row>
    <row r="56" spans="3:3">
      <c r="C56" s="3"/>
    </row>
    <row r="57" spans="3:3">
      <c r="C57" s="3"/>
    </row>
    <row r="58" spans="3:3">
      <c r="C58" s="3"/>
    </row>
  </sheetData>
  <mergeCells count="8">
    <mergeCell ref="A1:J1"/>
    <mergeCell ref="H2:J2"/>
    <mergeCell ref="C5:D5"/>
    <mergeCell ref="E5:F5"/>
    <mergeCell ref="H5:J5"/>
    <mergeCell ref="A5:A6"/>
    <mergeCell ref="B5:B6"/>
    <mergeCell ref="G5:G6"/>
  </mergeCells>
  <pageMargins left="0.235416666666667" right="0.235416666666667" top="0.313888888888889" bottom="0.15625" header="0.313888888888889" footer="0.313888888888889"/>
  <pageSetup paperSize="9" orientation="landscape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新</vt:lpstr>
      <vt:lpstr>旧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cw05</dc:creator>
  <cp:lastModifiedBy>qyr</cp:lastModifiedBy>
  <dcterms:created xsi:type="dcterms:W3CDTF">2016-07-12T06:03:00Z</dcterms:created>
  <cp:lastPrinted>2016-11-23T10:22:00Z</cp:lastPrinted>
  <dcterms:modified xsi:type="dcterms:W3CDTF">2021-07-27T00:41:22Z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2052-11.1.0.10667</vt:lpwstr>
  </property>
  <property fmtid="{D5CDD505-2E9C-101B-9397-08002B2CF9AE}" pid="3" name="ICV">
    <vt:lpwstr>23E0650A7D894524B6DF2F29C9CB5720</vt:lpwstr>
  </property>
</Properties>
</file>