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第四次" sheetId="1" r:id="rId1"/>
    <sheet name="新" sheetId="2" r:id="rId2"/>
    <sheet name="旧" sheetId="3" r:id="rId3"/>
    <sheet name="Sheet2" sheetId="4" r:id="rId4"/>
  </sheets>
  <definedNames>
    <definedName name="_xlnm._FilterDatabase" localSheetId="0" hidden="1">第四次!$A$18:$O$100</definedName>
    <definedName name="_xlnm._FilterDatabase" localSheetId="1" hidden="1">新!$A$15:$O$79</definedName>
    <definedName name="_xlnm._FilterDatabase" localSheetId="2" hidden="1">旧!$A$15:$O$72</definedName>
  </definedNames>
  <calcPr calcId="144525"/>
</workbook>
</file>

<file path=xl/comments1.xml><?xml version="1.0" encoding="utf-8"?>
<comments xmlns="http://schemas.openxmlformats.org/spreadsheetml/2006/main">
  <authors>
    <author>cw05</author>
  </authors>
  <commentList>
    <comment ref="E19" authorId="0">
      <text>
        <r>
          <rPr>
            <sz val="9"/>
            <rFont val="宋体"/>
            <charset val="134"/>
          </rPr>
          <t>cw05:
填写专票税率</t>
        </r>
      </text>
    </comment>
    <comment ref="G19" authorId="0">
      <text>
        <r>
          <rPr>
            <sz val="9"/>
            <rFont val="宋体"/>
            <charset val="134"/>
          </rPr>
          <t>cw05:
填写成本发票含税金额</t>
        </r>
      </text>
    </comment>
    <comment ref="A93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94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comments2.xml><?xml version="1.0" encoding="utf-8"?>
<comments xmlns="http://schemas.openxmlformats.org/spreadsheetml/2006/main">
  <authors>
    <author>cw05</author>
  </authors>
  <commentList>
    <comment ref="E16" authorId="0">
      <text>
        <r>
          <rPr>
            <sz val="9"/>
            <rFont val="宋体"/>
            <charset val="134"/>
          </rPr>
          <t>cw05:
填写专票税率</t>
        </r>
      </text>
    </comment>
    <comment ref="G16" authorId="0">
      <text>
        <r>
          <rPr>
            <sz val="9"/>
            <rFont val="宋体"/>
            <charset val="134"/>
          </rPr>
          <t>cw05:
填写成本发票含税金额</t>
        </r>
      </text>
    </comment>
    <comment ref="A72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73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comments3.xml><?xml version="1.0" encoding="utf-8"?>
<comments xmlns="http://schemas.openxmlformats.org/spreadsheetml/2006/main">
  <authors>
    <author>cw05</author>
  </authors>
  <commentList>
    <comment ref="E16" authorId="0">
      <text>
        <r>
          <rPr>
            <sz val="9"/>
            <rFont val="宋体"/>
            <charset val="134"/>
          </rPr>
          <t>cw05:
填写专票税率</t>
        </r>
      </text>
    </comment>
    <comment ref="G16" authorId="0">
      <text>
        <r>
          <rPr>
            <sz val="9"/>
            <rFont val="宋体"/>
            <charset val="134"/>
          </rPr>
          <t>cw05:
填写成本发票含税金额</t>
        </r>
      </text>
    </comment>
    <comment ref="A65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66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<sst xmlns="http://schemas.openxmlformats.org/spreadsheetml/2006/main" count="665" uniqueCount="136">
  <si>
    <t>C9460  阜南县非建档立卡村通村硬化路（世行项目）（01--06标段）</t>
  </si>
  <si>
    <t>中标日期</t>
  </si>
  <si>
    <t>中标价</t>
  </si>
  <si>
    <t>负责人</t>
  </si>
  <si>
    <t>张书业</t>
  </si>
  <si>
    <t>建设单位</t>
  </si>
  <si>
    <t>阜南县县乡公路管理所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</si>
  <si>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</si>
  <si>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</si>
  <si>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</si>
  <si>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</si>
  <si>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</si>
  <si>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</si>
  <si>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</si>
  <si>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</si>
  <si>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</si>
  <si>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</si>
  <si>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</si>
  <si>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</si>
  <si>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</si>
  <si>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</si>
  <si>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中行</t>
  </si>
  <si>
    <t>工程预付款，没有开发票</t>
  </si>
  <si>
    <t>新中行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</si>
  <si>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</si>
  <si>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</si>
  <si>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</si>
  <si>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</si>
  <si>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</si>
  <si>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</si>
  <si>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</si>
  <si>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</si>
  <si>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</si>
  <si>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</si>
  <si>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</si>
  <si>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</si>
  <si>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</si>
  <si>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</si>
  <si>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招标代理费</t>
  </si>
  <si>
    <t>18-6-</t>
  </si>
  <si>
    <t>中国平安财产保险股份有限公司阜阳中心支公司</t>
  </si>
  <si>
    <t>发票税号错误退回</t>
  </si>
  <si>
    <t>徽行</t>
  </si>
  <si>
    <t>朱占军</t>
  </si>
  <si>
    <t>18-7-</t>
  </si>
  <si>
    <t>阜南县大毛建材有限公司</t>
  </si>
  <si>
    <t>水泥</t>
  </si>
  <si>
    <t>专</t>
  </si>
  <si>
    <t>阜南县永旺混凝土有限公司</t>
  </si>
  <si>
    <t>混凝土</t>
  </si>
  <si>
    <t>18-9-</t>
  </si>
  <si>
    <t>淮南舜岳水泥有限责任公司</t>
  </si>
  <si>
    <t>项目借款付材料款</t>
  </si>
  <si>
    <t>安徽昌达道路设施工程有限公司</t>
  </si>
  <si>
    <t>项目借款</t>
  </si>
  <si>
    <t>普</t>
  </si>
  <si>
    <t>刘鹏洲</t>
  </si>
  <si>
    <t>安全生产费</t>
  </si>
  <si>
    <t>普代</t>
  </si>
  <si>
    <t>张良友</t>
  </si>
  <si>
    <t>安全生产用品、环保用品</t>
  </si>
  <si>
    <t>代付材料</t>
  </si>
  <si>
    <t xml:space="preserve">阜南县永旺混凝土有限公司 </t>
  </si>
  <si>
    <t xml:space="preserve"> 调焦陂2018.10.148#</t>
  </si>
  <si>
    <t>黄沙、石子</t>
  </si>
  <si>
    <t>阜阳市五通建筑劳务有限公司</t>
  </si>
  <si>
    <t>劳务</t>
  </si>
  <si>
    <t>有</t>
  </si>
  <si>
    <t>合同价485万</t>
  </si>
  <si>
    <t>2份</t>
  </si>
  <si>
    <t>普（邮政代）</t>
  </si>
  <si>
    <t>朱侠宏</t>
  </si>
  <si>
    <t>石灰</t>
  </si>
  <si>
    <t>2021-169#-100万</t>
  </si>
  <si>
    <t>1份</t>
  </si>
  <si>
    <t>海天才</t>
  </si>
  <si>
    <t>机械施工费</t>
  </si>
  <si>
    <t>2021-162-4#-412400</t>
  </si>
  <si>
    <t>焦克龄</t>
  </si>
  <si>
    <t>2021-162-3#-462700</t>
  </si>
  <si>
    <t>刘珍静</t>
  </si>
  <si>
    <t>2021-162-2#-465750</t>
  </si>
  <si>
    <t>丁红彪</t>
  </si>
  <si>
    <t>波形护栏</t>
  </si>
  <si>
    <t>2021-163#-275200</t>
  </si>
  <si>
    <t>李中贺</t>
  </si>
  <si>
    <t>乳化沥青</t>
  </si>
  <si>
    <t>2021-164#-476215</t>
  </si>
  <si>
    <t>朱永军</t>
  </si>
  <si>
    <t>2021-162-1#-448100</t>
  </si>
  <si>
    <t>扣</t>
  </si>
  <si>
    <t>转账手续费</t>
  </si>
  <si>
    <t>外经证</t>
  </si>
  <si>
    <t>管理费2.5%</t>
  </si>
  <si>
    <t>企业所得税1.6%（总算）</t>
  </si>
  <si>
    <t>4次</t>
  </si>
  <si>
    <t>管理费</t>
  </si>
  <si>
    <t>印章2018.10.24-2019.8.28（收回已销毁）</t>
  </si>
  <si>
    <t>退</t>
  </si>
  <si>
    <t>上次暂扣预付款</t>
  </si>
  <si>
    <t>3次</t>
  </si>
  <si>
    <t>建造师占用费</t>
  </si>
  <si>
    <t>企税1.6%（包含78910+31709.09，多扣了78910）</t>
  </si>
  <si>
    <t>借款息</t>
  </si>
  <si>
    <t>借款本</t>
  </si>
  <si>
    <t>企业所得税1.6%</t>
  </si>
  <si>
    <t>2次</t>
  </si>
  <si>
    <t>费用</t>
  </si>
  <si>
    <t>1次</t>
  </si>
  <si>
    <t>暂扣</t>
  </si>
  <si>
    <t>预付款</t>
  </si>
  <si>
    <t>应提供成本</t>
  </si>
  <si>
    <t>可支付金额</t>
  </si>
  <si>
    <t>尚需提供成本</t>
  </si>
  <si>
    <t>公司代缴税金：</t>
  </si>
  <si>
    <t>税种</t>
  </si>
  <si>
    <t>税额</t>
  </si>
  <si>
    <t>18年10月份开票扣税额</t>
  </si>
  <si>
    <t>18.11开票扣税</t>
  </si>
  <si>
    <t>19.1月开票扣税</t>
  </si>
  <si>
    <t>19.11月开票预扣款</t>
  </si>
  <si>
    <t>2021年2月开票税金</t>
  </si>
  <si>
    <t>企业所得税</t>
  </si>
  <si>
    <t>增值税</t>
  </si>
  <si>
    <t>差额</t>
  </si>
  <si>
    <t>印花税</t>
  </si>
  <si>
    <t>已交</t>
  </si>
  <si>
    <t>城市维护建设税</t>
  </si>
  <si>
    <t>水利基金</t>
  </si>
  <si>
    <t>教育费附加</t>
  </si>
  <si>
    <t>地方教育费附加</t>
  </si>
  <si>
    <t>小计</t>
  </si>
  <si>
    <t>孙会计卡已收107252.84元</t>
  </si>
  <si>
    <t>企税总算</t>
  </si>
  <si>
    <t>19.11.13</t>
  </si>
  <si>
    <t>阜南县非建档立卡村通村硬化路（世行项目）（01--06标段）</t>
  </si>
</sst>
</file>

<file path=xl/styles.xml><?xml version="1.0" encoding="utf-8"?>
<styleSheet xmlns="http://schemas.openxmlformats.org/spreadsheetml/2006/main">
  <numFmts count="9">
    <numFmt numFmtId="176" formatCode="#,##0.00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yy/m/d;@"/>
    <numFmt numFmtId="44" formatCode="_ &quot;￥&quot;* #,##0.00_ ;_ &quot;￥&quot;* \-#,##0.00_ ;_ &quot;￥&quot;* &quot;-&quot;??_ ;_ @_ "/>
    <numFmt numFmtId="41" formatCode="_ * #,##0_ ;_ * \-#,##0_ ;_ * &quot;-&quot;_ ;_ @_ "/>
    <numFmt numFmtId="178" formatCode="0.00_ "/>
    <numFmt numFmtId="179" formatCode="yyyy&quot;年&quot;m&quot;月&quot;;@"/>
    <numFmt numFmtId="180" formatCode="#,##0_ "/>
  </numFmts>
  <fonts count="29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ˎ̥"/>
      <charset val="134"/>
    </font>
    <font>
      <sz val="9"/>
      <color rgb="FFFF0000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1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2" borderId="11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14" borderId="6" applyNumberFormat="0" applyAlignment="0" applyProtection="0">
      <alignment vertical="center"/>
    </xf>
    <xf numFmtId="0" fontId="26" fillId="14" borderId="8" applyNumberFormat="0" applyAlignment="0" applyProtection="0">
      <alignment vertical="center"/>
    </xf>
    <xf numFmtId="0" fontId="18" fillId="19" borderId="10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</cellStyleXfs>
  <cellXfs count="106">
    <xf numFmtId="0" fontId="0" fillId="0" borderId="0" xfId="0"/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vertical="center"/>
    </xf>
    <xf numFmtId="178" fontId="1" fillId="2" borderId="1" xfId="0" applyNumberFormat="1" applyFont="1" applyFill="1" applyBorder="1" applyAlignment="1">
      <alignment vertical="center"/>
    </xf>
    <xf numFmtId="177" fontId="2" fillId="0" borderId="1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vertical="center"/>
    </xf>
    <xf numFmtId="177" fontId="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7" fontId="4" fillId="0" borderId="2" xfId="0" applyNumberFormat="1" applyFont="1" applyBorder="1" applyAlignment="1">
      <alignment horizontal="center" vertical="center"/>
    </xf>
    <xf numFmtId="178" fontId="4" fillId="0" borderId="2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vertical="center"/>
    </xf>
    <xf numFmtId="14" fontId="2" fillId="0" borderId="1" xfId="0" applyNumberFormat="1" applyFont="1" applyBorder="1" applyAlignment="1">
      <alignment vertical="center"/>
    </xf>
    <xf numFmtId="176" fontId="2" fillId="0" borderId="1" xfId="0" applyNumberFormat="1" applyFont="1" applyBorder="1" applyAlignment="1">
      <alignment vertical="center"/>
    </xf>
    <xf numFmtId="0" fontId="5" fillId="0" borderId="0" xfId="0" applyFont="1"/>
    <xf numFmtId="0" fontId="5" fillId="0" borderId="1" xfId="0" applyFont="1" applyBorder="1" applyAlignment="1">
      <alignment horizontal="center"/>
    </xf>
    <xf numFmtId="178" fontId="2" fillId="0" borderId="1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left" vertical="center"/>
    </xf>
    <xf numFmtId="178" fontId="3" fillId="0" borderId="1" xfId="0" applyNumberFormat="1" applyFont="1" applyBorder="1" applyAlignment="1">
      <alignment vertical="center"/>
    </xf>
    <xf numFmtId="177" fontId="4" fillId="0" borderId="0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9" fontId="2" fillId="0" borderId="1" xfId="11" applyFont="1" applyBorder="1" applyAlignment="1">
      <alignment horizontal="center" vertical="center"/>
    </xf>
    <xf numFmtId="178" fontId="2" fillId="0" borderId="1" xfId="0" applyNumberFormat="1" applyFont="1" applyFill="1" applyBorder="1" applyAlignment="1">
      <alignment vertical="center"/>
    </xf>
    <xf numFmtId="178" fontId="3" fillId="3" borderId="1" xfId="0" applyNumberFormat="1" applyFont="1" applyFill="1" applyBorder="1" applyAlignment="1">
      <alignment vertical="center"/>
    </xf>
    <xf numFmtId="178" fontId="1" fillId="4" borderId="1" xfId="0" applyNumberFormat="1" applyFont="1" applyFill="1" applyBorder="1" applyAlignment="1">
      <alignment vertical="center"/>
    </xf>
    <xf numFmtId="176" fontId="1" fillId="0" borderId="1" xfId="0" applyNumberFormat="1" applyFont="1" applyBorder="1" applyAlignment="1">
      <alignment vertical="center"/>
    </xf>
    <xf numFmtId="178" fontId="1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79" fontId="3" fillId="0" borderId="1" xfId="0" applyNumberFormat="1" applyFont="1" applyBorder="1" applyAlignment="1">
      <alignment horizontal="center" vertical="center"/>
    </xf>
    <xf numFmtId="18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9" fontId="3" fillId="5" borderId="1" xfId="11" applyFont="1" applyFill="1" applyBorder="1" applyAlignment="1">
      <alignment horizontal="center" vertical="center"/>
    </xf>
    <xf numFmtId="179" fontId="6" fillId="0" borderId="1" xfId="0" applyNumberFormat="1" applyFont="1" applyBorder="1" applyAlignment="1">
      <alignment horizontal="center" vertical="center"/>
    </xf>
    <xf numFmtId="178" fontId="6" fillId="0" borderId="1" xfId="0" applyNumberFormat="1" applyFont="1" applyBorder="1" applyAlignment="1">
      <alignment vertical="center"/>
    </xf>
    <xf numFmtId="180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9" fontId="6" fillId="5" borderId="1" xfId="11" applyFont="1" applyFill="1" applyBorder="1" applyAlignment="1">
      <alignment horizontal="center" vertical="center"/>
    </xf>
    <xf numFmtId="178" fontId="6" fillId="3" borderId="1" xfId="0" applyNumberFormat="1" applyFont="1" applyFill="1" applyBorder="1" applyAlignment="1">
      <alignment vertical="center"/>
    </xf>
    <xf numFmtId="177" fontId="6" fillId="0" borderId="1" xfId="0" applyNumberFormat="1" applyFont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18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9" fontId="2" fillId="5" borderId="1" xfId="11" applyFont="1" applyFill="1" applyBorder="1" applyAlignment="1">
      <alignment horizontal="center" vertical="center"/>
    </xf>
    <xf numFmtId="178" fontId="2" fillId="3" borderId="1" xfId="0" applyNumberFormat="1" applyFont="1" applyFill="1" applyBorder="1" applyAlignment="1">
      <alignment vertical="center"/>
    </xf>
    <xf numFmtId="178" fontId="3" fillId="0" borderId="1" xfId="0" applyNumberFormat="1" applyFont="1" applyFill="1" applyBorder="1" applyAlignment="1">
      <alignment vertical="center"/>
    </xf>
    <xf numFmtId="178" fontId="6" fillId="0" borderId="1" xfId="0" applyNumberFormat="1" applyFont="1" applyFill="1" applyBorder="1" applyAlignment="1">
      <alignment vertical="center"/>
    </xf>
    <xf numFmtId="0" fontId="1" fillId="0" borderId="1" xfId="0" applyNumberFormat="1" applyFont="1" applyBorder="1" applyAlignment="1">
      <alignment vertical="center"/>
    </xf>
    <xf numFmtId="178" fontId="1" fillId="0" borderId="3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178" fontId="1" fillId="0" borderId="0" xfId="0" applyNumberFormat="1" applyFont="1" applyBorder="1" applyAlignment="1">
      <alignment vertical="center"/>
    </xf>
    <xf numFmtId="0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178" fontId="2" fillId="0" borderId="4" xfId="0" applyNumberFormat="1" applyFont="1" applyBorder="1" applyAlignment="1">
      <alignment horizontal="left" vertical="center"/>
    </xf>
    <xf numFmtId="177" fontId="2" fillId="0" borderId="5" xfId="0" applyNumberFormat="1" applyFont="1" applyBorder="1" applyAlignment="1">
      <alignment horizontal="left" vertical="center"/>
    </xf>
    <xf numFmtId="178" fontId="4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/>
    </xf>
    <xf numFmtId="176" fontId="2" fillId="0" borderId="1" xfId="0" applyNumberFormat="1" applyFont="1" applyBorder="1" applyAlignment="1" applyProtection="1">
      <alignment horizontal="center" vertical="center" wrapText="1"/>
    </xf>
    <xf numFmtId="178" fontId="2" fillId="4" borderId="1" xfId="0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3" fillId="4" borderId="1" xfId="0" applyNumberFormat="1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10" fontId="1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78" fontId="1" fillId="0" borderId="1" xfId="0" applyNumberFormat="1" applyFont="1" applyFill="1" applyBorder="1" applyAlignment="1">
      <alignment vertical="center"/>
    </xf>
    <xf numFmtId="178" fontId="2" fillId="0" borderId="1" xfId="0" applyNumberFormat="1" applyFont="1" applyBorder="1" applyAlignment="1">
      <alignment horizontal="right" vertical="center"/>
    </xf>
    <xf numFmtId="10" fontId="7" fillId="0" borderId="0" xfId="0" applyNumberFormat="1" applyFont="1" applyBorder="1" applyAlignment="1">
      <alignment vertical="center"/>
    </xf>
    <xf numFmtId="176" fontId="5" fillId="0" borderId="0" xfId="0" applyNumberFormat="1" applyFont="1"/>
    <xf numFmtId="176" fontId="2" fillId="0" borderId="1" xfId="0" applyNumberFormat="1" applyFont="1" applyFill="1" applyBorder="1" applyAlignment="1">
      <alignment vertical="center"/>
    </xf>
    <xf numFmtId="176" fontId="3" fillId="3" borderId="1" xfId="0" applyNumberFormat="1" applyFont="1" applyFill="1" applyBorder="1" applyAlignment="1">
      <alignment vertical="center"/>
    </xf>
    <xf numFmtId="176" fontId="1" fillId="4" borderId="1" xfId="0" applyNumberFormat="1" applyFont="1" applyFill="1" applyBorder="1" applyAlignment="1">
      <alignment vertical="center"/>
    </xf>
    <xf numFmtId="176" fontId="1" fillId="2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6" fontId="6" fillId="0" borderId="1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176" fontId="6" fillId="3" borderId="1" xfId="0" applyNumberFormat="1" applyFont="1" applyFill="1" applyBorder="1" applyAlignment="1">
      <alignment vertical="center"/>
    </xf>
    <xf numFmtId="176" fontId="2" fillId="3" borderId="1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vertical="center"/>
    </xf>
    <xf numFmtId="9" fontId="3" fillId="5" borderId="1" xfId="11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2" fillId="6" borderId="1" xfId="0" applyNumberFormat="1" applyFont="1" applyFill="1" applyBorder="1" applyAlignment="1">
      <alignment vertical="center"/>
    </xf>
    <xf numFmtId="0" fontId="2" fillId="6" borderId="1" xfId="0" applyFont="1" applyFill="1" applyBorder="1" applyAlignment="1">
      <alignment horizontal="center" vertical="center"/>
    </xf>
    <xf numFmtId="0" fontId="3" fillId="6" borderId="1" xfId="0" applyNumberFormat="1" applyFont="1" applyFill="1" applyBorder="1" applyAlignment="1">
      <alignment vertical="center"/>
    </xf>
    <xf numFmtId="176" fontId="1" fillId="0" borderId="3" xfId="0" applyNumberFormat="1" applyFont="1" applyBorder="1" applyAlignment="1">
      <alignment vertical="center"/>
    </xf>
    <xf numFmtId="176" fontId="1" fillId="6" borderId="1" xfId="0" applyNumberFormat="1" applyFont="1" applyFill="1" applyBorder="1" applyAlignment="1">
      <alignment vertical="center"/>
    </xf>
    <xf numFmtId="9" fontId="2" fillId="0" borderId="1" xfId="11" applyNumberFormat="1" applyFont="1" applyBorder="1" applyAlignment="1">
      <alignment horizontal="center" vertical="center"/>
    </xf>
    <xf numFmtId="176" fontId="6" fillId="4" borderId="1" xfId="0" applyNumberFormat="1" applyFont="1" applyFill="1" applyBorder="1" applyAlignment="1">
      <alignment vertical="center"/>
    </xf>
    <xf numFmtId="9" fontId="6" fillId="5" borderId="1" xfId="11" applyNumberFormat="1" applyFont="1" applyFill="1" applyBorder="1" applyAlignment="1">
      <alignment horizontal="center" vertical="center"/>
    </xf>
    <xf numFmtId="176" fontId="6" fillId="0" borderId="0" xfId="0" applyNumberFormat="1" applyFont="1" applyBorder="1" applyAlignment="1">
      <alignment vertical="center"/>
    </xf>
    <xf numFmtId="178" fontId="6" fillId="0" borderId="0" xfId="0" applyNumberFormat="1" applyFont="1" applyBorder="1" applyAlignment="1">
      <alignment vertical="center"/>
    </xf>
    <xf numFmtId="10" fontId="6" fillId="0" borderId="0" xfId="0" applyNumberFormat="1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0"/>
  <sheetViews>
    <sheetView tabSelected="1" topLeftCell="A7" workbookViewId="0">
      <selection activeCell="J109" sqref="J109"/>
    </sheetView>
  </sheetViews>
  <sheetFormatPr defaultColWidth="9" defaultRowHeight="11.25"/>
  <cols>
    <col min="1" max="1" width="10.775" style="11" customWidth="1"/>
    <col min="2" max="2" width="13.1083333333333" style="12" customWidth="1"/>
    <col min="3" max="3" width="6" style="13" customWidth="1"/>
    <col min="4" max="4" width="13.3333333333333" style="13" customWidth="1"/>
    <col min="5" max="5" width="6" style="13" customWidth="1"/>
    <col min="6" max="6" width="13.1083333333333" style="12" customWidth="1"/>
    <col min="7" max="7" width="18.1083333333333" style="12" customWidth="1"/>
    <col min="8" max="8" width="11.775" style="13" customWidth="1"/>
    <col min="9" max="9" width="19.4416666666667" style="12" customWidth="1"/>
    <col min="10" max="10" width="12.1083333333333" style="14" customWidth="1"/>
    <col min="11" max="11" width="31.4416666666667" style="15" customWidth="1"/>
    <col min="12" max="12" width="12.775" style="15" customWidth="1"/>
    <col min="13" max="13" width="18.4416666666667" style="15" customWidth="1"/>
    <col min="14" max="14" width="5.66666666666667" style="15" customWidth="1"/>
    <col min="15" max="15" width="13" style="15" customWidth="1"/>
    <col min="16" max="16" width="9" style="15"/>
    <col min="17" max="17" width="18.8833333333333" style="15" customWidth="1"/>
    <col min="18" max="16384" width="9" style="15"/>
  </cols>
  <sheetData>
    <row r="1" ht="21.9" customHeight="1" spans="1:12">
      <c r="A1" s="16" t="s">
        <v>0</v>
      </c>
      <c r="B1" s="16"/>
      <c r="C1" s="16"/>
      <c r="D1" s="16"/>
      <c r="E1" s="16"/>
      <c r="F1" s="17"/>
      <c r="G1" s="17"/>
      <c r="H1" s="16"/>
      <c r="I1" s="17"/>
      <c r="J1" s="16"/>
      <c r="K1" s="26"/>
      <c r="L1" s="26"/>
    </row>
    <row r="2" ht="18" customHeight="1" spans="1:12">
      <c r="A2" s="18" t="s">
        <v>1</v>
      </c>
      <c r="B2" s="19">
        <v>43202</v>
      </c>
      <c r="C2" s="20" t="s">
        <v>2</v>
      </c>
      <c r="D2" s="81">
        <v>21965978.04</v>
      </c>
      <c r="E2" s="7" t="s">
        <v>3</v>
      </c>
      <c r="F2" s="22" t="s">
        <v>4</v>
      </c>
      <c r="G2" s="23" t="s">
        <v>5</v>
      </c>
      <c r="H2" s="24" t="s">
        <v>6</v>
      </c>
      <c r="I2" s="60"/>
      <c r="J2" s="61"/>
      <c r="K2" s="26"/>
      <c r="L2" s="26"/>
    </row>
    <row r="3" ht="18" customHeight="1" spans="1:12">
      <c r="A3" s="18" t="s">
        <v>7</v>
      </c>
      <c r="B3" s="25"/>
      <c r="C3" s="20" t="s">
        <v>8</v>
      </c>
      <c r="D3" s="20">
        <v>18941333.28</v>
      </c>
      <c r="H3" s="26"/>
      <c r="I3" s="62"/>
      <c r="J3" s="26"/>
      <c r="K3" s="26"/>
      <c r="L3" s="26"/>
    </row>
    <row r="4" ht="18" customHeight="1" spans="1:12">
      <c r="A4" s="11" t="s">
        <v>9</v>
      </c>
      <c r="H4" s="26"/>
      <c r="I4" s="62"/>
      <c r="J4" s="26"/>
      <c r="K4" s="26"/>
      <c r="L4" s="26"/>
    </row>
    <row r="5" ht="18" customHeight="1" spans="1:10">
      <c r="A5" s="2" t="s">
        <v>10</v>
      </c>
      <c r="B5" s="3" t="s">
        <v>11</v>
      </c>
      <c r="C5" s="2" t="s">
        <v>12</v>
      </c>
      <c r="D5" s="2"/>
      <c r="E5" s="2" t="s">
        <v>13</v>
      </c>
      <c r="F5" s="3"/>
      <c r="G5" s="3" t="s">
        <v>14</v>
      </c>
      <c r="H5" s="1" t="s">
        <v>15</v>
      </c>
      <c r="I5" s="3"/>
      <c r="J5" s="1"/>
    </row>
    <row r="6" ht="18" customHeight="1" spans="1:10">
      <c r="A6" s="2"/>
      <c r="B6" s="3"/>
      <c r="C6" s="2" t="s">
        <v>16</v>
      </c>
      <c r="D6" s="2" t="s">
        <v>17</v>
      </c>
      <c r="E6" s="2" t="s">
        <v>16</v>
      </c>
      <c r="F6" s="3" t="s">
        <v>17</v>
      </c>
      <c r="G6" s="3"/>
      <c r="H6" s="1" t="s">
        <v>18</v>
      </c>
      <c r="I6" s="3" t="s">
        <v>19</v>
      </c>
      <c r="J6" s="1" t="s">
        <v>20</v>
      </c>
    </row>
    <row r="7" ht="18" customHeight="1" spans="1:11">
      <c r="A7" s="27">
        <v>43385</v>
      </c>
      <c r="B7" s="20">
        <f t="shared" ref="B7:B15" si="0">G7/(1+C7+E7)</f>
        <v>4432727.27272727</v>
      </c>
      <c r="C7" s="28">
        <v>0.02</v>
      </c>
      <c r="D7" s="82">
        <f t="shared" ref="D7:D15" si="1">G7/(1+E7+C7)*C7</f>
        <v>88654.5454545455</v>
      </c>
      <c r="E7" s="28">
        <v>0.08</v>
      </c>
      <c r="F7" s="20">
        <f t="shared" ref="F7:F15" si="2">G7/(1+C7+E7)*E7</f>
        <v>354618.181818182</v>
      </c>
      <c r="G7" s="83">
        <v>4876000</v>
      </c>
      <c r="H7" s="27">
        <v>43305</v>
      </c>
      <c r="I7" s="20">
        <v>1098000</v>
      </c>
      <c r="J7" s="63" t="s">
        <v>21</v>
      </c>
      <c r="K7" s="15" t="s">
        <v>22</v>
      </c>
    </row>
    <row r="8" ht="18" customHeight="1" spans="1:10">
      <c r="A8" s="27">
        <v>43412</v>
      </c>
      <c r="B8" s="20">
        <f t="shared" si="0"/>
        <v>1796363.63636364</v>
      </c>
      <c r="C8" s="28">
        <v>0.02</v>
      </c>
      <c r="D8" s="82">
        <f t="shared" si="1"/>
        <v>35927.2727272727</v>
      </c>
      <c r="E8" s="28">
        <v>0.08</v>
      </c>
      <c r="F8" s="20">
        <f t="shared" si="2"/>
        <v>143709.090909091</v>
      </c>
      <c r="G8" s="83">
        <v>1976000</v>
      </c>
      <c r="H8" s="27">
        <v>43396</v>
      </c>
      <c r="I8" s="20">
        <v>4876000</v>
      </c>
      <c r="J8" s="63" t="s">
        <v>21</v>
      </c>
    </row>
    <row r="9" ht="18" customHeight="1" spans="1:10">
      <c r="A9" s="27">
        <v>43412</v>
      </c>
      <c r="B9" s="20">
        <f t="shared" si="0"/>
        <v>3135454.54545455</v>
      </c>
      <c r="C9" s="28">
        <v>0.02</v>
      </c>
      <c r="D9" s="82">
        <f t="shared" si="1"/>
        <v>62709.0909090909</v>
      </c>
      <c r="E9" s="28">
        <v>0.08</v>
      </c>
      <c r="F9" s="20">
        <f t="shared" si="2"/>
        <v>250836.363636364</v>
      </c>
      <c r="G9" s="83">
        <v>3449000</v>
      </c>
      <c r="H9" s="27">
        <v>43423</v>
      </c>
      <c r="I9" s="20">
        <v>5425000</v>
      </c>
      <c r="J9" s="63" t="s">
        <v>21</v>
      </c>
    </row>
    <row r="10" ht="18" customHeight="1" spans="1:10">
      <c r="A10" s="27">
        <v>43473</v>
      </c>
      <c r="B10" s="20">
        <f t="shared" si="0"/>
        <v>1981818.18181818</v>
      </c>
      <c r="C10" s="28">
        <v>0.02</v>
      </c>
      <c r="D10" s="82">
        <f t="shared" si="1"/>
        <v>39636.3636363636</v>
      </c>
      <c r="E10" s="28">
        <v>0.08</v>
      </c>
      <c r="F10" s="20">
        <f t="shared" si="2"/>
        <v>158545.454545455</v>
      </c>
      <c r="G10" s="83">
        <v>2180000</v>
      </c>
      <c r="H10" s="27">
        <v>43497</v>
      </c>
      <c r="I10" s="20">
        <v>1739000</v>
      </c>
      <c r="J10" s="63" t="s">
        <v>21</v>
      </c>
    </row>
    <row r="11" ht="18" customHeight="1" spans="1:11">
      <c r="A11" s="27">
        <v>43780</v>
      </c>
      <c r="B11" s="20">
        <f t="shared" si="0"/>
        <v>2183486.23853211</v>
      </c>
      <c r="C11" s="28">
        <v>0.02</v>
      </c>
      <c r="D11" s="82">
        <f t="shared" si="1"/>
        <v>43669.7247706422</v>
      </c>
      <c r="E11" s="28">
        <v>0.07</v>
      </c>
      <c r="F11" s="20">
        <f t="shared" si="2"/>
        <v>152844.036697248</v>
      </c>
      <c r="G11" s="83">
        <v>2380000</v>
      </c>
      <c r="H11" s="27">
        <v>43852</v>
      </c>
      <c r="I11" s="20">
        <v>2026000</v>
      </c>
      <c r="J11" s="63" t="s">
        <v>21</v>
      </c>
      <c r="K11" s="12"/>
    </row>
    <row r="12" ht="18" customHeight="1" spans="1:11">
      <c r="A12" s="27">
        <v>44229</v>
      </c>
      <c r="B12" s="20">
        <f t="shared" si="0"/>
        <v>3222103.9266055</v>
      </c>
      <c r="C12" s="100">
        <v>0.02</v>
      </c>
      <c r="D12" s="82">
        <f t="shared" si="1"/>
        <v>64442.0785321101</v>
      </c>
      <c r="E12" s="100">
        <v>0.07</v>
      </c>
      <c r="F12" s="20">
        <f t="shared" si="2"/>
        <v>225547.274862385</v>
      </c>
      <c r="G12" s="83">
        <v>3512093.28</v>
      </c>
      <c r="H12" s="27">
        <v>43852</v>
      </c>
      <c r="I12" s="20">
        <v>354000</v>
      </c>
      <c r="J12" s="63" t="s">
        <v>21</v>
      </c>
      <c r="K12" s="12"/>
    </row>
    <row r="13" ht="18" customHeight="1" spans="1:11">
      <c r="A13" s="27"/>
      <c r="B13" s="20">
        <f t="shared" si="0"/>
        <v>0</v>
      </c>
      <c r="C13" s="100">
        <v>0.02</v>
      </c>
      <c r="D13" s="82">
        <f t="shared" si="1"/>
        <v>0</v>
      </c>
      <c r="E13" s="100">
        <v>0.07</v>
      </c>
      <c r="F13" s="20">
        <f t="shared" si="2"/>
        <v>0</v>
      </c>
      <c r="G13" s="83"/>
      <c r="H13" s="27">
        <v>44250</v>
      </c>
      <c r="I13" s="20">
        <v>900000</v>
      </c>
      <c r="J13" s="63" t="s">
        <v>23</v>
      </c>
      <c r="K13" s="12"/>
    </row>
    <row r="14" ht="18" customHeight="1" spans="1:11">
      <c r="A14" s="27"/>
      <c r="B14" s="20">
        <f t="shared" si="0"/>
        <v>0</v>
      </c>
      <c r="C14" s="100">
        <v>0.02</v>
      </c>
      <c r="D14" s="82">
        <f t="shared" si="1"/>
        <v>0</v>
      </c>
      <c r="E14" s="100">
        <v>0.07</v>
      </c>
      <c r="F14" s="20">
        <f t="shared" si="2"/>
        <v>0</v>
      </c>
      <c r="G14" s="83"/>
      <c r="H14" s="27">
        <v>44405</v>
      </c>
      <c r="I14" s="20">
        <v>1955000</v>
      </c>
      <c r="J14" s="63" t="s">
        <v>23</v>
      </c>
      <c r="K14" s="12"/>
    </row>
    <row r="15" ht="18" customHeight="1" spans="1:10">
      <c r="A15" s="27"/>
      <c r="B15" s="20">
        <f t="shared" si="0"/>
        <v>0</v>
      </c>
      <c r="C15" s="28">
        <v>0.02</v>
      </c>
      <c r="D15" s="82">
        <f t="shared" si="1"/>
        <v>0</v>
      </c>
      <c r="E15" s="28">
        <v>0.07</v>
      </c>
      <c r="F15" s="20">
        <f t="shared" si="2"/>
        <v>0</v>
      </c>
      <c r="G15" s="83"/>
      <c r="H15" s="27"/>
      <c r="I15" s="20"/>
      <c r="J15" s="63"/>
    </row>
    <row r="16" ht="18" customHeight="1" spans="1:10">
      <c r="A16" s="4" t="s">
        <v>24</v>
      </c>
      <c r="B16" s="84">
        <f>SUM(B7:B15)</f>
        <v>16751953.8015012</v>
      </c>
      <c r="C16" s="32"/>
      <c r="D16" s="32">
        <f>SUM(D7:D15)</f>
        <v>335039.076030025</v>
      </c>
      <c r="E16" s="32"/>
      <c r="F16" s="85">
        <f>SUM(F7:F15)</f>
        <v>1286100.40246872</v>
      </c>
      <c r="G16" s="32">
        <f>SUM(G7:G15)</f>
        <v>18373093.28</v>
      </c>
      <c r="H16" s="34"/>
      <c r="I16" s="32">
        <f>SUM(I7:I15)</f>
        <v>18373000</v>
      </c>
      <c r="J16" s="34"/>
    </row>
    <row r="17" ht="18" customHeight="1" spans="1:12">
      <c r="A17" s="11" t="s">
        <v>25</v>
      </c>
      <c r="J17" s="13"/>
      <c r="K17" s="13"/>
      <c r="L17" s="14"/>
    </row>
    <row r="18" ht="18" customHeight="1" spans="1:15">
      <c r="A18" s="9" t="s">
        <v>26</v>
      </c>
      <c r="B18" s="3" t="s">
        <v>27</v>
      </c>
      <c r="C18" s="2" t="s">
        <v>28</v>
      </c>
      <c r="D18" s="2" t="s">
        <v>29</v>
      </c>
      <c r="E18" s="2" t="s">
        <v>16</v>
      </c>
      <c r="F18" s="3" t="s">
        <v>30</v>
      </c>
      <c r="G18" s="3" t="s">
        <v>14</v>
      </c>
      <c r="H18" s="2" t="s">
        <v>31</v>
      </c>
      <c r="I18" s="3" t="s">
        <v>32</v>
      </c>
      <c r="J18" s="2" t="s">
        <v>20</v>
      </c>
      <c r="K18" s="64" t="s">
        <v>33</v>
      </c>
      <c r="L18" s="1" t="s">
        <v>34</v>
      </c>
      <c r="M18" s="1" t="s">
        <v>35</v>
      </c>
      <c r="N18" s="1" t="s">
        <v>36</v>
      </c>
      <c r="O18" s="1" t="s">
        <v>37</v>
      </c>
    </row>
    <row r="19" s="10" customFormat="1" ht="18" customHeight="1" spans="1:15">
      <c r="A19" s="35">
        <v>43238</v>
      </c>
      <c r="B19" s="86">
        <f t="shared" ref="B19:B52" si="3">ROUND(G19/(1+E19),2)</f>
        <v>137264.15</v>
      </c>
      <c r="C19" s="36"/>
      <c r="D19" s="37"/>
      <c r="E19" s="38">
        <v>0.06</v>
      </c>
      <c r="F19" s="86">
        <f t="shared" ref="F19:F52" si="4">ROUND(G19/(1+E19)*E19,2)</f>
        <v>8235.85</v>
      </c>
      <c r="G19" s="83">
        <v>145500</v>
      </c>
      <c r="H19" s="27"/>
      <c r="I19" s="20"/>
      <c r="J19" s="63"/>
      <c r="K19" s="65" t="s">
        <v>38</v>
      </c>
      <c r="L19" s="66"/>
      <c r="M19" s="67"/>
      <c r="N19" s="67"/>
      <c r="O19" s="66"/>
    </row>
    <row r="20" s="10" customFormat="1" ht="18" customHeight="1" spans="1:15">
      <c r="A20" s="39"/>
      <c r="B20" s="87"/>
      <c r="C20" s="41"/>
      <c r="D20" s="42"/>
      <c r="E20" s="43"/>
      <c r="F20" s="88"/>
      <c r="G20" s="89"/>
      <c r="H20" s="45" t="s">
        <v>39</v>
      </c>
      <c r="I20" s="87">
        <v>76612.77</v>
      </c>
      <c r="J20" s="68" t="s">
        <v>21</v>
      </c>
      <c r="K20" s="69" t="s">
        <v>40</v>
      </c>
      <c r="L20" s="66"/>
      <c r="M20" s="67"/>
      <c r="N20" s="67"/>
      <c r="O20" s="66" t="s">
        <v>41</v>
      </c>
    </row>
    <row r="21" s="10" customFormat="1" ht="18" customHeight="1" spans="1:15">
      <c r="A21" s="35"/>
      <c r="B21" s="86">
        <f t="shared" si="3"/>
        <v>0</v>
      </c>
      <c r="C21" s="36"/>
      <c r="D21" s="37"/>
      <c r="E21" s="38"/>
      <c r="F21" s="86">
        <f t="shared" si="4"/>
        <v>0</v>
      </c>
      <c r="G21" s="83"/>
      <c r="H21" s="27" t="s">
        <v>39</v>
      </c>
      <c r="I21" s="20">
        <v>-76612.77</v>
      </c>
      <c r="J21" s="63" t="s">
        <v>42</v>
      </c>
      <c r="K21" s="65" t="s">
        <v>43</v>
      </c>
      <c r="L21" s="66"/>
      <c r="M21" s="67"/>
      <c r="N21" s="67"/>
      <c r="O21" s="66"/>
    </row>
    <row r="22" s="10" customFormat="1" ht="18" customHeight="1" spans="1:15">
      <c r="A22" s="35">
        <v>43299</v>
      </c>
      <c r="B22" s="86">
        <f t="shared" si="3"/>
        <v>689655.17</v>
      </c>
      <c r="C22" s="36"/>
      <c r="D22" s="37"/>
      <c r="E22" s="38">
        <v>0.16</v>
      </c>
      <c r="F22" s="86">
        <f t="shared" si="4"/>
        <v>110344.83</v>
      </c>
      <c r="G22" s="83">
        <v>800000</v>
      </c>
      <c r="H22" s="27" t="s">
        <v>44</v>
      </c>
      <c r="I22" s="20">
        <v>800000</v>
      </c>
      <c r="J22" s="63" t="s">
        <v>21</v>
      </c>
      <c r="K22" s="65" t="s">
        <v>45</v>
      </c>
      <c r="L22" s="66" t="s">
        <v>46</v>
      </c>
      <c r="M22" s="67"/>
      <c r="N22" s="67"/>
      <c r="O22" s="66"/>
    </row>
    <row r="23" s="10" customFormat="1" ht="18" customHeight="1" spans="1:15">
      <c r="A23" s="35">
        <v>43396</v>
      </c>
      <c r="B23" s="86">
        <f t="shared" si="3"/>
        <v>2099184.47</v>
      </c>
      <c r="C23" s="36"/>
      <c r="D23" s="37" t="s">
        <v>47</v>
      </c>
      <c r="E23" s="38">
        <v>0.03</v>
      </c>
      <c r="F23" s="86">
        <f t="shared" si="4"/>
        <v>62975.53</v>
      </c>
      <c r="G23" s="83">
        <f>21*102960</f>
        <v>2162160</v>
      </c>
      <c r="H23" s="27" t="s">
        <v>44</v>
      </c>
      <c r="I23" s="20">
        <v>122320</v>
      </c>
      <c r="J23" s="63" t="s">
        <v>21</v>
      </c>
      <c r="K23" s="65" t="s">
        <v>48</v>
      </c>
      <c r="L23" s="66" t="s">
        <v>49</v>
      </c>
      <c r="M23" s="67"/>
      <c r="N23" s="67"/>
      <c r="O23" s="66"/>
    </row>
    <row r="24" s="10" customFormat="1" ht="18" customHeight="1" spans="1:15">
      <c r="A24" s="35"/>
      <c r="B24" s="86">
        <f t="shared" si="3"/>
        <v>0</v>
      </c>
      <c r="C24" s="36"/>
      <c r="D24" s="37"/>
      <c r="E24" s="38"/>
      <c r="F24" s="86">
        <f t="shared" si="4"/>
        <v>0</v>
      </c>
      <c r="G24" s="83"/>
      <c r="H24" s="27" t="s">
        <v>50</v>
      </c>
      <c r="I24" s="20">
        <v>-1500000</v>
      </c>
      <c r="J24" s="63" t="s">
        <v>42</v>
      </c>
      <c r="K24" s="65" t="s">
        <v>43</v>
      </c>
      <c r="L24" s="66"/>
      <c r="M24" s="67"/>
      <c r="N24" s="67"/>
      <c r="O24" s="66"/>
    </row>
    <row r="25" s="10" customFormat="1" ht="18" customHeight="1" spans="1:15">
      <c r="A25" s="35">
        <v>43374</v>
      </c>
      <c r="B25" s="86">
        <f t="shared" si="3"/>
        <v>1293103.45</v>
      </c>
      <c r="C25" s="36"/>
      <c r="D25" s="37" t="s">
        <v>47</v>
      </c>
      <c r="E25" s="38">
        <v>0.16</v>
      </c>
      <c r="F25" s="86">
        <f t="shared" si="4"/>
        <v>206896.55</v>
      </c>
      <c r="G25" s="83">
        <f>545501.2+954498.8</f>
        <v>1500000</v>
      </c>
      <c r="H25" s="27" t="s">
        <v>50</v>
      </c>
      <c r="I25" s="20">
        <v>1500000</v>
      </c>
      <c r="J25" s="63" t="s">
        <v>21</v>
      </c>
      <c r="K25" s="65" t="s">
        <v>51</v>
      </c>
      <c r="L25" s="66" t="s">
        <v>46</v>
      </c>
      <c r="M25" s="67"/>
      <c r="N25" s="67"/>
      <c r="O25" s="66"/>
    </row>
    <row r="26" s="10" customFormat="1" ht="18" customHeight="1" spans="1:15">
      <c r="A26" s="35"/>
      <c r="B26" s="86">
        <f t="shared" si="3"/>
        <v>0</v>
      </c>
      <c r="C26" s="36"/>
      <c r="D26" s="37"/>
      <c r="E26" s="38"/>
      <c r="F26" s="86">
        <f t="shared" si="4"/>
        <v>0</v>
      </c>
      <c r="G26" s="83"/>
      <c r="H26" s="27" t="s">
        <v>50</v>
      </c>
      <c r="I26" s="20">
        <v>2000000</v>
      </c>
      <c r="J26" s="63" t="s">
        <v>21</v>
      </c>
      <c r="K26" s="65" t="s">
        <v>48</v>
      </c>
      <c r="L26" s="66" t="s">
        <v>52</v>
      </c>
      <c r="M26" s="67"/>
      <c r="N26" s="67"/>
      <c r="O26" s="66"/>
    </row>
    <row r="27" s="10" customFormat="1" ht="18" customHeight="1" spans="1:15">
      <c r="A27" s="35"/>
      <c r="B27" s="86">
        <f t="shared" si="3"/>
        <v>0</v>
      </c>
      <c r="C27" s="36"/>
      <c r="D27" s="37"/>
      <c r="E27" s="38"/>
      <c r="F27" s="86">
        <f t="shared" si="4"/>
        <v>0</v>
      </c>
      <c r="G27" s="83"/>
      <c r="H27" s="27" t="s">
        <v>50</v>
      </c>
      <c r="I27" s="20">
        <v>-2000000</v>
      </c>
      <c r="J27" s="63" t="s">
        <v>21</v>
      </c>
      <c r="K27" s="65" t="s">
        <v>53</v>
      </c>
      <c r="L27" s="66" t="s">
        <v>54</v>
      </c>
      <c r="M27" s="67"/>
      <c r="N27" s="67"/>
      <c r="O27" s="66"/>
    </row>
    <row r="28" s="10" customFormat="1" ht="18" customHeight="1" spans="1:15">
      <c r="A28" s="35">
        <v>43374</v>
      </c>
      <c r="B28" s="86">
        <f t="shared" si="3"/>
        <v>368000</v>
      </c>
      <c r="C28" s="36"/>
      <c r="D28" s="37" t="s">
        <v>55</v>
      </c>
      <c r="E28" s="38"/>
      <c r="F28" s="86">
        <f t="shared" si="4"/>
        <v>0</v>
      </c>
      <c r="G28" s="83">
        <v>368000</v>
      </c>
      <c r="H28" s="27"/>
      <c r="I28" s="20"/>
      <c r="J28" s="63"/>
      <c r="K28" s="65" t="s">
        <v>56</v>
      </c>
      <c r="L28" s="66" t="s">
        <v>57</v>
      </c>
      <c r="M28" s="67"/>
      <c r="N28" s="67"/>
      <c r="O28" s="66"/>
    </row>
    <row r="29" s="10" customFormat="1" ht="18" customHeight="1" spans="1:15">
      <c r="A29" s="35"/>
      <c r="B29" s="86">
        <f t="shared" si="3"/>
        <v>0</v>
      </c>
      <c r="C29" s="36"/>
      <c r="D29" s="37"/>
      <c r="E29" s="38"/>
      <c r="F29" s="86">
        <f t="shared" si="4"/>
        <v>0</v>
      </c>
      <c r="G29" s="83"/>
      <c r="H29" s="27">
        <v>43390</v>
      </c>
      <c r="I29" s="20">
        <v>1000000</v>
      </c>
      <c r="J29" s="63" t="s">
        <v>21</v>
      </c>
      <c r="K29" s="65" t="s">
        <v>48</v>
      </c>
      <c r="L29" s="66" t="s">
        <v>52</v>
      </c>
      <c r="M29" s="67"/>
      <c r="N29" s="67"/>
      <c r="O29" s="66"/>
    </row>
    <row r="30" s="10" customFormat="1" ht="18" customHeight="1" spans="1:15">
      <c r="A30" s="35"/>
      <c r="B30" s="86">
        <f t="shared" si="3"/>
        <v>0</v>
      </c>
      <c r="C30" s="36"/>
      <c r="D30" s="37"/>
      <c r="E30" s="38"/>
      <c r="F30" s="86">
        <f t="shared" si="4"/>
        <v>0</v>
      </c>
      <c r="G30" s="83"/>
      <c r="H30" s="27">
        <v>43390</v>
      </c>
      <c r="I30" s="20">
        <v>-1000000</v>
      </c>
      <c r="J30" s="63" t="s">
        <v>21</v>
      </c>
      <c r="K30" s="65" t="s">
        <v>53</v>
      </c>
      <c r="L30" s="66" t="s">
        <v>54</v>
      </c>
      <c r="M30" s="67"/>
      <c r="N30" s="67"/>
      <c r="O30" s="66"/>
    </row>
    <row r="31" s="10" customFormat="1" ht="18" customHeight="1" spans="1:15">
      <c r="A31" s="35"/>
      <c r="B31" s="86">
        <f t="shared" si="3"/>
        <v>0</v>
      </c>
      <c r="C31" s="36"/>
      <c r="D31" s="37"/>
      <c r="E31" s="38"/>
      <c r="F31" s="86">
        <f t="shared" si="4"/>
        <v>0</v>
      </c>
      <c r="G31" s="83"/>
      <c r="H31" s="27">
        <v>43397</v>
      </c>
      <c r="I31" s="20">
        <v>1000000</v>
      </c>
      <c r="J31" s="63" t="s">
        <v>21</v>
      </c>
      <c r="K31" s="65" t="s">
        <v>51</v>
      </c>
      <c r="L31" s="66" t="s">
        <v>46</v>
      </c>
      <c r="M31" s="67"/>
      <c r="N31" s="67"/>
      <c r="O31" s="66"/>
    </row>
    <row r="32" s="10" customFormat="1" ht="18" customHeight="1" spans="1:15">
      <c r="A32" s="35"/>
      <c r="B32" s="86">
        <f t="shared" si="3"/>
        <v>0</v>
      </c>
      <c r="C32" s="36"/>
      <c r="D32" s="37"/>
      <c r="E32" s="38"/>
      <c r="F32" s="86">
        <f t="shared" si="4"/>
        <v>0</v>
      </c>
      <c r="G32" s="83"/>
      <c r="H32" s="27">
        <v>43398</v>
      </c>
      <c r="I32" s="20">
        <v>368000</v>
      </c>
      <c r="J32" s="63" t="s">
        <v>42</v>
      </c>
      <c r="K32" s="65" t="s">
        <v>43</v>
      </c>
      <c r="L32" s="66"/>
      <c r="M32" s="67"/>
      <c r="N32" s="67"/>
      <c r="O32" s="66"/>
    </row>
    <row r="33" s="10" customFormat="1" ht="18" customHeight="1" spans="1:15">
      <c r="A33" s="35">
        <v>43405</v>
      </c>
      <c r="B33" s="86">
        <f t="shared" si="3"/>
        <v>4211495.15</v>
      </c>
      <c r="C33" s="36"/>
      <c r="D33" s="37" t="s">
        <v>47</v>
      </c>
      <c r="E33" s="38">
        <v>0.03</v>
      </c>
      <c r="F33" s="86">
        <f t="shared" si="4"/>
        <v>126344.85</v>
      </c>
      <c r="G33" s="83">
        <v>4337840</v>
      </c>
      <c r="H33" s="27">
        <v>43398</v>
      </c>
      <c r="I33" s="20">
        <v>1738063.23</v>
      </c>
      <c r="J33" s="63" t="s">
        <v>21</v>
      </c>
      <c r="K33" s="65" t="s">
        <v>48</v>
      </c>
      <c r="L33" s="66"/>
      <c r="M33" s="67"/>
      <c r="N33" s="67"/>
      <c r="O33" s="66"/>
    </row>
    <row r="34" s="10" customFormat="1" ht="18" customHeight="1" spans="1:15">
      <c r="A34" s="35"/>
      <c r="B34" s="86">
        <f t="shared" si="3"/>
        <v>0</v>
      </c>
      <c r="C34" s="36"/>
      <c r="D34" s="37"/>
      <c r="E34" s="38"/>
      <c r="F34" s="86">
        <f t="shared" si="4"/>
        <v>0</v>
      </c>
      <c r="G34" s="83"/>
      <c r="H34" s="27">
        <v>43413</v>
      </c>
      <c r="I34" s="20">
        <v>500000</v>
      </c>
      <c r="J34" s="63" t="s">
        <v>21</v>
      </c>
      <c r="K34" s="65" t="s">
        <v>51</v>
      </c>
      <c r="L34" s="66" t="s">
        <v>46</v>
      </c>
      <c r="M34" s="67"/>
      <c r="N34" s="67"/>
      <c r="O34" s="66"/>
    </row>
    <row r="35" s="10" customFormat="1" ht="18" customHeight="1" spans="1:15">
      <c r="A35" s="35"/>
      <c r="B35" s="86">
        <f t="shared" si="3"/>
        <v>0</v>
      </c>
      <c r="C35" s="36"/>
      <c r="D35" s="37"/>
      <c r="E35" s="38"/>
      <c r="F35" s="86">
        <f t="shared" si="4"/>
        <v>0</v>
      </c>
      <c r="G35" s="83"/>
      <c r="H35" s="27">
        <v>43412</v>
      </c>
      <c r="I35" s="20">
        <v>-500000</v>
      </c>
      <c r="J35" s="63" t="s">
        <v>42</v>
      </c>
      <c r="K35" s="65" t="s">
        <v>43</v>
      </c>
      <c r="L35" s="66"/>
      <c r="M35" s="67"/>
      <c r="N35" s="67"/>
      <c r="O35" s="66"/>
    </row>
    <row r="36" ht="18" customHeight="1" spans="1:15">
      <c r="A36" s="46">
        <v>43405</v>
      </c>
      <c r="B36" s="20">
        <f t="shared" si="3"/>
        <v>1724137.93</v>
      </c>
      <c r="C36" s="47"/>
      <c r="D36" s="48" t="s">
        <v>47</v>
      </c>
      <c r="E36" s="49">
        <v>0.16</v>
      </c>
      <c r="F36" s="20">
        <f t="shared" si="4"/>
        <v>275862.07</v>
      </c>
      <c r="G36" s="90">
        <f>1000000+500000*2</f>
        <v>2000000</v>
      </c>
      <c r="H36" s="27">
        <v>43424</v>
      </c>
      <c r="I36" s="20">
        <v>500000</v>
      </c>
      <c r="J36" s="63" t="s">
        <v>21</v>
      </c>
      <c r="K36" s="70" t="s">
        <v>51</v>
      </c>
      <c r="L36" s="34" t="s">
        <v>46</v>
      </c>
      <c r="M36" s="63"/>
      <c r="N36" s="63"/>
      <c r="O36" s="34"/>
    </row>
    <row r="37" s="10" customFormat="1" ht="18" customHeight="1" spans="1:15">
      <c r="A37" s="35"/>
      <c r="B37" s="86">
        <f t="shared" si="3"/>
        <v>0</v>
      </c>
      <c r="C37" s="36"/>
      <c r="D37" s="37"/>
      <c r="E37" s="38"/>
      <c r="F37" s="86">
        <f t="shared" si="4"/>
        <v>0</v>
      </c>
      <c r="G37" s="83"/>
      <c r="H37" s="27">
        <v>43426</v>
      </c>
      <c r="I37" s="20">
        <v>1639616.77</v>
      </c>
      <c r="J37" s="63" t="s">
        <v>21</v>
      </c>
      <c r="K37" s="65" t="s">
        <v>48</v>
      </c>
      <c r="L37" s="66" t="s">
        <v>49</v>
      </c>
      <c r="M37" s="67"/>
      <c r="N37" s="67"/>
      <c r="O37" s="66"/>
    </row>
    <row r="38" s="10" customFormat="1" ht="18" customHeight="1" spans="1:15">
      <c r="A38" s="35">
        <v>43435</v>
      </c>
      <c r="B38" s="86">
        <f t="shared" si="3"/>
        <v>184000</v>
      </c>
      <c r="C38" s="36"/>
      <c r="D38" s="37" t="s">
        <v>58</v>
      </c>
      <c r="E38" s="38"/>
      <c r="F38" s="86">
        <f t="shared" si="4"/>
        <v>0</v>
      </c>
      <c r="G38" s="83">
        <f>92000*2</f>
        <v>184000</v>
      </c>
      <c r="H38" s="27"/>
      <c r="I38" s="20"/>
      <c r="J38" s="63"/>
      <c r="K38" s="65" t="s">
        <v>59</v>
      </c>
      <c r="L38" s="66" t="s">
        <v>60</v>
      </c>
      <c r="M38" s="67"/>
      <c r="N38" s="67"/>
      <c r="O38" s="66"/>
    </row>
    <row r="39" s="10" customFormat="1" ht="18" customHeight="1" spans="1:15">
      <c r="A39" s="35">
        <v>43466</v>
      </c>
      <c r="B39" s="86">
        <f t="shared" si="3"/>
        <v>1145631.07</v>
      </c>
      <c r="C39" s="36"/>
      <c r="D39" s="37"/>
      <c r="E39" s="38">
        <v>0.03</v>
      </c>
      <c r="F39" s="86">
        <f t="shared" si="4"/>
        <v>34368.93</v>
      </c>
      <c r="G39" s="83">
        <f>47440+102960*11</f>
        <v>1180000</v>
      </c>
      <c r="H39" s="27">
        <v>43498</v>
      </c>
      <c r="I39" s="20">
        <v>1180000</v>
      </c>
      <c r="J39" s="63" t="s">
        <v>21</v>
      </c>
      <c r="K39" s="65" t="s">
        <v>48</v>
      </c>
      <c r="L39" s="66" t="s">
        <v>49</v>
      </c>
      <c r="M39" s="67"/>
      <c r="N39" s="67"/>
      <c r="O39" s="66"/>
    </row>
    <row r="40" s="10" customFormat="1" ht="18" customHeight="1" spans="1:15">
      <c r="A40" s="35">
        <v>43466</v>
      </c>
      <c r="B40" s="86">
        <f t="shared" si="3"/>
        <v>862068.97</v>
      </c>
      <c r="C40" s="36"/>
      <c r="D40" s="37"/>
      <c r="E40" s="38">
        <v>0.16</v>
      </c>
      <c r="F40" s="86">
        <f t="shared" si="4"/>
        <v>137931.03</v>
      </c>
      <c r="G40" s="83">
        <v>1000000</v>
      </c>
      <c r="H40" s="27"/>
      <c r="I40" s="20"/>
      <c r="J40" s="63"/>
      <c r="K40" s="65" t="s">
        <v>51</v>
      </c>
      <c r="L40" s="66" t="s">
        <v>46</v>
      </c>
      <c r="M40" s="67"/>
      <c r="N40" s="67"/>
      <c r="O40" s="66"/>
    </row>
    <row r="41" s="10" customFormat="1" ht="18" customHeight="1" spans="1:15">
      <c r="A41" s="35"/>
      <c r="B41" s="86">
        <f t="shared" si="3"/>
        <v>0</v>
      </c>
      <c r="C41" s="36"/>
      <c r="D41" s="37"/>
      <c r="E41" s="38"/>
      <c r="F41" s="86">
        <f t="shared" si="4"/>
        <v>0</v>
      </c>
      <c r="G41" s="83"/>
      <c r="H41" s="27">
        <v>43488</v>
      </c>
      <c r="I41" s="20">
        <v>1000000</v>
      </c>
      <c r="J41" s="63" t="s">
        <v>21</v>
      </c>
      <c r="K41" s="65" t="s">
        <v>51</v>
      </c>
      <c r="L41" s="66" t="s">
        <v>46</v>
      </c>
      <c r="M41" s="67"/>
      <c r="N41" s="67"/>
      <c r="O41" s="66"/>
    </row>
    <row r="42" s="10" customFormat="1" ht="18" customHeight="1" spans="1:15">
      <c r="A42" s="35"/>
      <c r="B42" s="86">
        <f t="shared" si="3"/>
        <v>0</v>
      </c>
      <c r="C42" s="36"/>
      <c r="D42" s="37"/>
      <c r="E42" s="38"/>
      <c r="F42" s="91">
        <f t="shared" si="4"/>
        <v>0</v>
      </c>
      <c r="G42" s="83"/>
      <c r="H42" s="27">
        <v>43488</v>
      </c>
      <c r="I42" s="20">
        <v>-1000000</v>
      </c>
      <c r="J42" s="63" t="s">
        <v>42</v>
      </c>
      <c r="K42" s="65" t="s">
        <v>43</v>
      </c>
      <c r="L42" s="66"/>
      <c r="M42" s="67"/>
      <c r="N42" s="67"/>
      <c r="O42" s="66"/>
    </row>
    <row r="43" s="10" customFormat="1" ht="18" customHeight="1" spans="1:15">
      <c r="A43" s="35"/>
      <c r="B43" s="86">
        <f t="shared" si="3"/>
        <v>0</v>
      </c>
      <c r="C43" s="36"/>
      <c r="D43" s="37"/>
      <c r="E43" s="38"/>
      <c r="F43" s="91">
        <f t="shared" si="4"/>
        <v>0</v>
      </c>
      <c r="G43" s="83"/>
      <c r="H43" s="27">
        <v>43499</v>
      </c>
      <c r="I43" s="71">
        <v>290319.9</v>
      </c>
      <c r="J43" s="63" t="s">
        <v>42</v>
      </c>
      <c r="K43" s="65" t="s">
        <v>43</v>
      </c>
      <c r="L43" s="66"/>
      <c r="M43" s="67"/>
      <c r="N43" s="67"/>
      <c r="O43" s="66"/>
    </row>
    <row r="44" s="10" customFormat="1" ht="18" customHeight="1" spans="1:15">
      <c r="A44" s="35"/>
      <c r="B44" s="86">
        <f t="shared" si="3"/>
        <v>0</v>
      </c>
      <c r="C44" s="36"/>
      <c r="D44" s="37"/>
      <c r="E44" s="38"/>
      <c r="F44" s="91">
        <f t="shared" si="4"/>
        <v>0</v>
      </c>
      <c r="G44" s="83"/>
      <c r="H44" s="27">
        <v>43398</v>
      </c>
      <c r="I44" s="20">
        <v>1576612.77</v>
      </c>
      <c r="J44" s="63" t="s">
        <v>42</v>
      </c>
      <c r="K44" s="65" t="s">
        <v>43</v>
      </c>
      <c r="L44" s="66" t="s">
        <v>61</v>
      </c>
      <c r="M44" s="67"/>
      <c r="N44" s="67"/>
      <c r="O44" s="66"/>
    </row>
    <row r="45" s="10" customFormat="1" ht="18" customHeight="1" spans="1:15">
      <c r="A45" s="35"/>
      <c r="B45" s="87">
        <f t="shared" si="3"/>
        <v>-2162160</v>
      </c>
      <c r="C45" s="41"/>
      <c r="D45" s="42"/>
      <c r="E45" s="43"/>
      <c r="F45" s="92">
        <f t="shared" si="4"/>
        <v>0</v>
      </c>
      <c r="G45" s="101">
        <v>-2162160</v>
      </c>
      <c r="H45" s="45"/>
      <c r="I45" s="87"/>
      <c r="J45" s="68"/>
      <c r="K45" s="69" t="s">
        <v>62</v>
      </c>
      <c r="L45" s="69" t="s">
        <v>63</v>
      </c>
      <c r="M45" s="67"/>
      <c r="N45" s="67"/>
      <c r="O45" s="66"/>
    </row>
    <row r="46" s="10" customFormat="1" ht="18" customHeight="1" spans="1:15">
      <c r="A46" s="35"/>
      <c r="B46" s="87">
        <f t="shared" si="3"/>
        <v>-1180000</v>
      </c>
      <c r="C46" s="41"/>
      <c r="D46" s="42"/>
      <c r="E46" s="43"/>
      <c r="F46" s="92">
        <f t="shared" si="4"/>
        <v>0</v>
      </c>
      <c r="G46" s="101">
        <v>-1180000</v>
      </c>
      <c r="H46" s="45">
        <v>43945</v>
      </c>
      <c r="I46" s="87"/>
      <c r="J46" s="68"/>
      <c r="K46" s="69" t="s">
        <v>62</v>
      </c>
      <c r="L46" s="66" t="s">
        <v>49</v>
      </c>
      <c r="M46" s="67"/>
      <c r="N46" s="67"/>
      <c r="O46" s="66"/>
    </row>
    <row r="47" s="10" customFormat="1" ht="18" customHeight="1" spans="1:15">
      <c r="A47" s="35"/>
      <c r="B47" s="87">
        <f t="shared" si="3"/>
        <v>-4337840</v>
      </c>
      <c r="C47" s="41"/>
      <c r="D47" s="42"/>
      <c r="E47" s="43"/>
      <c r="F47" s="92">
        <f t="shared" si="4"/>
        <v>0</v>
      </c>
      <c r="G47" s="101">
        <v>-4337840</v>
      </c>
      <c r="H47" s="45">
        <v>43946</v>
      </c>
      <c r="I47" s="87"/>
      <c r="J47" s="68"/>
      <c r="K47" s="69" t="s">
        <v>62</v>
      </c>
      <c r="L47" s="66" t="s">
        <v>49</v>
      </c>
      <c r="M47" s="67"/>
      <c r="N47" s="67"/>
      <c r="O47" s="66"/>
    </row>
    <row r="48" s="10" customFormat="1" ht="18" customHeight="1" spans="1:15">
      <c r="A48" s="35"/>
      <c r="B48" s="87">
        <f t="shared" si="3"/>
        <v>4883044.25</v>
      </c>
      <c r="C48" s="41"/>
      <c r="D48" s="42"/>
      <c r="E48" s="102">
        <v>0.13</v>
      </c>
      <c r="F48" s="92">
        <f t="shared" si="4"/>
        <v>634795.75</v>
      </c>
      <c r="G48" s="101">
        <v>5517840</v>
      </c>
      <c r="H48" s="45">
        <v>43947</v>
      </c>
      <c r="I48" s="87"/>
      <c r="J48" s="68"/>
      <c r="K48" s="69" t="s">
        <v>62</v>
      </c>
      <c r="L48" s="69" t="s">
        <v>64</v>
      </c>
      <c r="M48" s="67"/>
      <c r="N48" s="67"/>
      <c r="O48" s="66"/>
    </row>
    <row r="49" s="10" customFormat="1" ht="18" customHeight="1" spans="1:15">
      <c r="A49" s="39"/>
      <c r="B49" s="87">
        <f t="shared" si="3"/>
        <v>350159.98</v>
      </c>
      <c r="C49" s="41"/>
      <c r="D49" s="42"/>
      <c r="E49" s="102">
        <v>0.03</v>
      </c>
      <c r="F49" s="87">
        <f t="shared" si="4"/>
        <v>10504.8</v>
      </c>
      <c r="G49" s="101">
        <v>360664.78</v>
      </c>
      <c r="H49" s="103"/>
      <c r="I49" s="104"/>
      <c r="J49" s="105"/>
      <c r="K49" s="69" t="s">
        <v>62</v>
      </c>
      <c r="L49" s="69"/>
      <c r="M49" s="67"/>
      <c r="N49" s="67"/>
      <c r="O49" s="66"/>
    </row>
    <row r="50" s="10" customFormat="1" ht="18" customHeight="1" spans="1:15">
      <c r="A50" s="35">
        <v>43952</v>
      </c>
      <c r="B50" s="20">
        <f t="shared" si="3"/>
        <v>2201834.86</v>
      </c>
      <c r="C50" s="36"/>
      <c r="D50" s="37"/>
      <c r="E50" s="93">
        <v>0.09</v>
      </c>
      <c r="F50" s="82">
        <f t="shared" si="4"/>
        <v>198165.14</v>
      </c>
      <c r="G50" s="83">
        <v>2400000</v>
      </c>
      <c r="H50" s="94"/>
      <c r="I50" s="86"/>
      <c r="J50" s="67"/>
      <c r="K50" s="65" t="s">
        <v>65</v>
      </c>
      <c r="L50" s="65" t="s">
        <v>66</v>
      </c>
      <c r="M50" s="67" t="s">
        <v>67</v>
      </c>
      <c r="N50" s="67"/>
      <c r="O50" s="66" t="s">
        <v>68</v>
      </c>
    </row>
    <row r="51" s="10" customFormat="1" ht="18" customHeight="1" spans="1:15">
      <c r="A51" s="35"/>
      <c r="B51" s="20">
        <f t="shared" si="3"/>
        <v>0</v>
      </c>
      <c r="C51" s="36"/>
      <c r="D51" s="37"/>
      <c r="E51" s="38"/>
      <c r="F51" s="82">
        <f t="shared" si="4"/>
        <v>0</v>
      </c>
      <c r="G51" s="83"/>
      <c r="H51" s="27">
        <v>43979</v>
      </c>
      <c r="I51" s="20">
        <v>2400000</v>
      </c>
      <c r="J51" s="63"/>
      <c r="K51" s="70" t="s">
        <v>65</v>
      </c>
      <c r="L51" s="70" t="s">
        <v>66</v>
      </c>
      <c r="M51" s="67"/>
      <c r="N51" s="67"/>
      <c r="O51" s="66"/>
    </row>
    <row r="52" s="10" customFormat="1" ht="18" customHeight="1" spans="1:15">
      <c r="A52" s="35">
        <v>44013</v>
      </c>
      <c r="B52" s="20">
        <f t="shared" si="3"/>
        <v>52963.3</v>
      </c>
      <c r="C52" s="36"/>
      <c r="D52" s="37"/>
      <c r="E52" s="93">
        <v>0.09</v>
      </c>
      <c r="F52" s="82">
        <f t="shared" si="4"/>
        <v>4766.7</v>
      </c>
      <c r="G52" s="83">
        <v>57730</v>
      </c>
      <c r="H52" s="94"/>
      <c r="I52" s="86"/>
      <c r="J52" s="67"/>
      <c r="K52" s="70" t="s">
        <v>65</v>
      </c>
      <c r="L52" s="70" t="s">
        <v>66</v>
      </c>
      <c r="M52" s="67"/>
      <c r="N52" s="67"/>
      <c r="O52" s="66"/>
    </row>
    <row r="53" s="10" customFormat="1" ht="18" customHeight="1" spans="1:15">
      <c r="A53" s="35">
        <v>44228</v>
      </c>
      <c r="B53" s="20">
        <f t="shared" ref="B53:B59" si="5">ROUND(G53/(1+E53),2)</f>
        <v>991129.5</v>
      </c>
      <c r="C53" s="36" t="s">
        <v>69</v>
      </c>
      <c r="D53" s="37" t="s">
        <v>70</v>
      </c>
      <c r="E53" s="93"/>
      <c r="F53" s="20">
        <f t="shared" ref="F53:F59" si="6">ROUND(G53/(1+E53)*E53,2)</f>
        <v>0</v>
      </c>
      <c r="G53" s="83">
        <f>492102+499027.5</f>
        <v>991129.5</v>
      </c>
      <c r="H53" s="94"/>
      <c r="I53" s="86"/>
      <c r="J53" s="67"/>
      <c r="K53" s="70" t="s">
        <v>71</v>
      </c>
      <c r="L53" s="70" t="s">
        <v>72</v>
      </c>
      <c r="M53" s="67" t="s">
        <v>73</v>
      </c>
      <c r="N53" s="67"/>
      <c r="O53" s="66"/>
    </row>
    <row r="54" s="10" customFormat="1" ht="18" customHeight="1" spans="1:15">
      <c r="A54" s="35">
        <v>44228</v>
      </c>
      <c r="B54" s="20">
        <f t="shared" si="5"/>
        <v>411197.55</v>
      </c>
      <c r="C54" s="36" t="s">
        <v>74</v>
      </c>
      <c r="D54" s="37" t="s">
        <v>70</v>
      </c>
      <c r="E54" s="93"/>
      <c r="F54" s="82">
        <f t="shared" si="6"/>
        <v>0</v>
      </c>
      <c r="G54" s="83">
        <v>411197.55</v>
      </c>
      <c r="H54" s="94"/>
      <c r="I54" s="86"/>
      <c r="J54" s="67"/>
      <c r="K54" s="70" t="s">
        <v>75</v>
      </c>
      <c r="L54" s="70" t="s">
        <v>76</v>
      </c>
      <c r="M54" s="67" t="s">
        <v>77</v>
      </c>
      <c r="N54" s="67"/>
      <c r="O54" s="66"/>
    </row>
    <row r="55" s="10" customFormat="1" ht="18" customHeight="1" spans="1:15">
      <c r="A55" s="35">
        <v>44228</v>
      </c>
      <c r="B55" s="20">
        <f t="shared" si="5"/>
        <v>459923.29</v>
      </c>
      <c r="C55" s="36" t="s">
        <v>74</v>
      </c>
      <c r="D55" s="37" t="s">
        <v>70</v>
      </c>
      <c r="E55" s="93"/>
      <c r="F55" s="82">
        <f t="shared" si="6"/>
        <v>0</v>
      </c>
      <c r="G55" s="83">
        <v>459923.29</v>
      </c>
      <c r="H55" s="94"/>
      <c r="I55" s="86"/>
      <c r="J55" s="67"/>
      <c r="K55" s="70" t="s">
        <v>78</v>
      </c>
      <c r="L55" s="70" t="s">
        <v>76</v>
      </c>
      <c r="M55" s="67" t="s">
        <v>79</v>
      </c>
      <c r="N55" s="67"/>
      <c r="O55" s="66"/>
    </row>
    <row r="56" s="10" customFormat="1" ht="18" customHeight="1" spans="1:15">
      <c r="A56" s="35">
        <v>44228</v>
      </c>
      <c r="B56" s="20">
        <f t="shared" si="5"/>
        <v>464431.2</v>
      </c>
      <c r="C56" s="36" t="s">
        <v>74</v>
      </c>
      <c r="D56" s="37" t="s">
        <v>70</v>
      </c>
      <c r="E56" s="93"/>
      <c r="F56" s="82">
        <f t="shared" si="6"/>
        <v>0</v>
      </c>
      <c r="G56" s="83">
        <v>464431.2</v>
      </c>
      <c r="H56" s="94"/>
      <c r="I56" s="86"/>
      <c r="J56" s="67"/>
      <c r="K56" s="70" t="s">
        <v>80</v>
      </c>
      <c r="L56" s="70" t="s">
        <v>76</v>
      </c>
      <c r="M56" s="67" t="s">
        <v>81</v>
      </c>
      <c r="N56" s="67"/>
      <c r="O56" s="66"/>
    </row>
    <row r="57" s="10" customFormat="1" ht="18" customHeight="1" spans="1:15">
      <c r="A57" s="35">
        <v>44228</v>
      </c>
      <c r="B57" s="20">
        <f t="shared" si="5"/>
        <v>275200</v>
      </c>
      <c r="C57" s="36" t="s">
        <v>74</v>
      </c>
      <c r="D57" s="37" t="s">
        <v>70</v>
      </c>
      <c r="E57" s="93"/>
      <c r="F57" s="20">
        <f t="shared" si="6"/>
        <v>0</v>
      </c>
      <c r="G57" s="83">
        <v>275200</v>
      </c>
      <c r="H57" s="94"/>
      <c r="I57" s="86"/>
      <c r="J57" s="67"/>
      <c r="K57" s="70" t="s">
        <v>82</v>
      </c>
      <c r="L57" s="70" t="s">
        <v>83</v>
      </c>
      <c r="M57" s="67" t="s">
        <v>84</v>
      </c>
      <c r="N57" s="67"/>
      <c r="O57" s="66"/>
    </row>
    <row r="58" s="10" customFormat="1" ht="18" customHeight="1" spans="1:15">
      <c r="A58" s="35">
        <v>44228</v>
      </c>
      <c r="B58" s="20">
        <f t="shared" si="5"/>
        <v>476215</v>
      </c>
      <c r="C58" s="36" t="s">
        <v>74</v>
      </c>
      <c r="D58" s="37" t="s">
        <v>70</v>
      </c>
      <c r="E58" s="93"/>
      <c r="F58" s="82">
        <f t="shared" si="6"/>
        <v>0</v>
      </c>
      <c r="G58" s="83">
        <v>476215</v>
      </c>
      <c r="H58" s="94"/>
      <c r="I58" s="86"/>
      <c r="J58" s="67"/>
      <c r="K58" s="70" t="s">
        <v>85</v>
      </c>
      <c r="L58" s="70" t="s">
        <v>86</v>
      </c>
      <c r="M58" s="67" t="s">
        <v>87</v>
      </c>
      <c r="N58" s="67"/>
      <c r="O58" s="66"/>
    </row>
    <row r="59" s="10" customFormat="1" ht="18" customHeight="1" spans="1:15">
      <c r="A59" s="35">
        <v>44228</v>
      </c>
      <c r="B59" s="20">
        <f t="shared" si="5"/>
        <v>447338.68</v>
      </c>
      <c r="C59" s="36" t="s">
        <v>74</v>
      </c>
      <c r="D59" s="37" t="s">
        <v>70</v>
      </c>
      <c r="E59" s="38"/>
      <c r="F59" s="82">
        <f t="shared" si="6"/>
        <v>0</v>
      </c>
      <c r="G59" s="83">
        <v>447338.68</v>
      </c>
      <c r="H59" s="94"/>
      <c r="I59" s="86"/>
      <c r="J59" s="67"/>
      <c r="K59" s="65" t="s">
        <v>88</v>
      </c>
      <c r="L59" s="70" t="s">
        <v>76</v>
      </c>
      <c r="M59" s="67" t="s">
        <v>89</v>
      </c>
      <c r="N59" s="67"/>
      <c r="O59" s="66"/>
    </row>
    <row r="60" s="10" customFormat="1" ht="18" customHeight="1" spans="1:15">
      <c r="A60" s="35"/>
      <c r="B60" s="20"/>
      <c r="C60" s="36"/>
      <c r="D60" s="37"/>
      <c r="E60" s="38"/>
      <c r="F60" s="82"/>
      <c r="G60" s="83"/>
      <c r="H60" s="27">
        <v>44272</v>
      </c>
      <c r="I60" s="20">
        <v>838000</v>
      </c>
      <c r="J60" s="63" t="s">
        <v>42</v>
      </c>
      <c r="K60" s="70" t="s">
        <v>71</v>
      </c>
      <c r="L60" s="70" t="s">
        <v>72</v>
      </c>
      <c r="M60" s="67"/>
      <c r="N60" s="67"/>
      <c r="O60" s="66"/>
    </row>
    <row r="61" s="10" customFormat="1" ht="18" customHeight="1" spans="1:15">
      <c r="A61" s="35"/>
      <c r="B61" s="20"/>
      <c r="C61" s="36"/>
      <c r="D61" s="37"/>
      <c r="E61" s="38"/>
      <c r="F61" s="82"/>
      <c r="G61" s="83"/>
      <c r="H61" s="94"/>
      <c r="I61" s="86"/>
      <c r="J61" s="67"/>
      <c r="K61" s="65"/>
      <c r="L61" s="70"/>
      <c r="M61" s="67"/>
      <c r="N61" s="67"/>
      <c r="O61" s="66"/>
    </row>
    <row r="62" s="10" customFormat="1" ht="18" customHeight="1" spans="1:15">
      <c r="A62" s="35"/>
      <c r="B62" s="20"/>
      <c r="C62" s="36"/>
      <c r="D62" s="37"/>
      <c r="E62" s="38"/>
      <c r="F62" s="82"/>
      <c r="G62" s="83"/>
      <c r="H62" s="94"/>
      <c r="I62" s="86"/>
      <c r="J62" s="67"/>
      <c r="K62" s="65"/>
      <c r="L62" s="70"/>
      <c r="M62" s="67"/>
      <c r="N62" s="67"/>
      <c r="O62" s="66"/>
    </row>
    <row r="63" s="10" customFormat="1" ht="18" customHeight="1" spans="1:15">
      <c r="A63" s="35"/>
      <c r="B63" s="20"/>
      <c r="C63" s="36"/>
      <c r="D63" s="37"/>
      <c r="E63" s="38"/>
      <c r="F63" s="82"/>
      <c r="G63" s="83"/>
      <c r="H63" s="94"/>
      <c r="I63" s="86"/>
      <c r="J63" s="67"/>
      <c r="K63" s="65"/>
      <c r="L63" s="70"/>
      <c r="M63" s="67"/>
      <c r="N63" s="67"/>
      <c r="O63" s="66"/>
    </row>
    <row r="64" s="10" customFormat="1" ht="18" customHeight="1" spans="1:15">
      <c r="A64" s="35"/>
      <c r="B64" s="20"/>
      <c r="C64" s="36"/>
      <c r="D64" s="37"/>
      <c r="E64" s="38"/>
      <c r="F64" s="82"/>
      <c r="G64" s="83"/>
      <c r="H64" s="94"/>
      <c r="I64" s="86"/>
      <c r="J64" s="67"/>
      <c r="K64" s="65"/>
      <c r="L64" s="70"/>
      <c r="M64" s="67"/>
      <c r="N64" s="67"/>
      <c r="O64" s="66"/>
    </row>
    <row r="65" s="10" customFormat="1" ht="18" customHeight="1" spans="1:15">
      <c r="A65" s="35"/>
      <c r="B65" s="20"/>
      <c r="C65" s="36"/>
      <c r="D65" s="37"/>
      <c r="E65" s="38"/>
      <c r="F65" s="82"/>
      <c r="G65" s="83"/>
      <c r="H65" s="94"/>
      <c r="I65" s="86"/>
      <c r="J65" s="67"/>
      <c r="K65" s="65"/>
      <c r="L65" s="70"/>
      <c r="M65" s="67"/>
      <c r="N65" s="67"/>
      <c r="O65" s="66"/>
    </row>
    <row r="66" s="10" customFormat="1" ht="18" customHeight="1" spans="1:15">
      <c r="A66" s="35"/>
      <c r="B66" s="20"/>
      <c r="C66" s="36"/>
      <c r="D66" s="37"/>
      <c r="E66" s="38"/>
      <c r="F66" s="82"/>
      <c r="G66" s="83"/>
      <c r="H66" s="94"/>
      <c r="I66" s="86"/>
      <c r="J66" s="67"/>
      <c r="K66" s="65"/>
      <c r="L66" s="70"/>
      <c r="M66" s="67"/>
      <c r="N66" s="67"/>
      <c r="O66" s="66"/>
    </row>
    <row r="67" s="10" customFormat="1" ht="18" customHeight="1" spans="1:15">
      <c r="A67" s="35"/>
      <c r="B67" s="20">
        <f>ROUND(G67/(1+E67),2)</f>
        <v>0</v>
      </c>
      <c r="C67" s="36"/>
      <c r="D67" s="37"/>
      <c r="E67" s="38"/>
      <c r="F67" s="82">
        <f>ROUND(G67/(1+E67)*E67,2)</f>
        <v>0</v>
      </c>
      <c r="G67" s="83"/>
      <c r="H67" s="94"/>
      <c r="I67" s="86"/>
      <c r="J67" s="67"/>
      <c r="K67" s="65"/>
      <c r="L67" s="65"/>
      <c r="M67" s="67"/>
      <c r="N67" s="67"/>
      <c r="O67" s="66"/>
    </row>
    <row r="68" s="10" customFormat="1" ht="18" customHeight="1" spans="1:15">
      <c r="A68" s="35"/>
      <c r="B68" s="20">
        <f>ROUND(G68/(1+E68),2)</f>
        <v>0</v>
      </c>
      <c r="C68" s="36"/>
      <c r="D68" s="37"/>
      <c r="E68" s="38"/>
      <c r="F68" s="20">
        <f>ROUND(G68/(1+E68)*E68,2)</f>
        <v>0</v>
      </c>
      <c r="G68" s="83"/>
      <c r="H68" s="94">
        <v>44271</v>
      </c>
      <c r="I68" s="86">
        <v>100</v>
      </c>
      <c r="J68" s="63" t="s">
        <v>90</v>
      </c>
      <c r="K68" s="70" t="s">
        <v>91</v>
      </c>
      <c r="L68" s="65"/>
      <c r="M68" s="67"/>
      <c r="N68" s="67"/>
      <c r="O68" s="66"/>
    </row>
    <row r="69" s="10" customFormat="1" ht="18" customHeight="1" spans="1:15">
      <c r="A69" s="35"/>
      <c r="B69" s="20">
        <f>ROUND(G69/(1+E69),2)</f>
        <v>0</v>
      </c>
      <c r="C69" s="36"/>
      <c r="D69" s="37"/>
      <c r="E69" s="38"/>
      <c r="F69" s="82">
        <f t="shared" ref="F69:F86" si="7">ROUND(G69/(1+E69)*E69,2)</f>
        <v>0</v>
      </c>
      <c r="G69" s="83"/>
      <c r="H69" s="94">
        <v>44271</v>
      </c>
      <c r="I69" s="86">
        <v>500</v>
      </c>
      <c r="J69" s="63" t="s">
        <v>90</v>
      </c>
      <c r="K69" s="65" t="s">
        <v>92</v>
      </c>
      <c r="L69" s="65"/>
      <c r="M69" s="67"/>
      <c r="N69" s="67"/>
      <c r="O69" s="66"/>
    </row>
    <row r="70" s="10" customFormat="1" ht="18" customHeight="1" spans="1:15">
      <c r="A70" s="35"/>
      <c r="B70" s="20">
        <f>ROUND(G70/(1+E70),2)</f>
        <v>85583.33</v>
      </c>
      <c r="C70" s="36"/>
      <c r="D70" s="37"/>
      <c r="E70" s="38"/>
      <c r="F70" s="82">
        <f t="shared" si="7"/>
        <v>0</v>
      </c>
      <c r="G70" s="83">
        <v>85583.33</v>
      </c>
      <c r="H70" s="94">
        <v>44271</v>
      </c>
      <c r="I70" s="86">
        <v>85583.33</v>
      </c>
      <c r="J70" s="63" t="s">
        <v>90</v>
      </c>
      <c r="K70" s="70" t="s">
        <v>93</v>
      </c>
      <c r="L70" s="65"/>
      <c r="M70" s="67"/>
      <c r="N70" s="67"/>
      <c r="O70" s="66"/>
    </row>
    <row r="71" s="10" customFormat="1" ht="18" customHeight="1" spans="1:15">
      <c r="A71" s="35"/>
      <c r="B71" s="20">
        <f t="shared" ref="B71:B86" si="8">ROUND(G71/(1+E71),2)</f>
        <v>0</v>
      </c>
      <c r="C71" s="36"/>
      <c r="D71" s="37"/>
      <c r="E71" s="38"/>
      <c r="F71" s="82">
        <f t="shared" si="7"/>
        <v>0</v>
      </c>
      <c r="G71" s="83"/>
      <c r="H71" s="94">
        <v>44271</v>
      </c>
      <c r="I71" s="86">
        <v>33515.49</v>
      </c>
      <c r="J71" s="63" t="s">
        <v>90</v>
      </c>
      <c r="K71" s="65" t="s">
        <v>94</v>
      </c>
      <c r="L71" s="65"/>
      <c r="M71" s="67"/>
      <c r="N71" s="67"/>
      <c r="O71" s="66"/>
    </row>
    <row r="72" s="10" customFormat="1" ht="18" customHeight="1" spans="1:15">
      <c r="A72" s="35"/>
      <c r="B72" s="86">
        <f t="shared" si="8"/>
        <v>0</v>
      </c>
      <c r="C72" s="36"/>
      <c r="D72" s="37"/>
      <c r="E72" s="38"/>
      <c r="F72" s="82">
        <f t="shared" si="7"/>
        <v>0</v>
      </c>
      <c r="G72" s="83"/>
      <c r="H72" s="94" t="s">
        <v>95</v>
      </c>
      <c r="I72" s="20">
        <v>500</v>
      </c>
      <c r="J72" s="63" t="s">
        <v>90</v>
      </c>
      <c r="K72" s="70" t="s">
        <v>92</v>
      </c>
      <c r="L72" s="65"/>
      <c r="M72" s="67"/>
      <c r="N72" s="67"/>
      <c r="O72" s="66"/>
    </row>
    <row r="73" s="10" customFormat="1" ht="18" customHeight="1" spans="1:15">
      <c r="A73" s="35"/>
      <c r="B73" s="86">
        <f t="shared" si="8"/>
        <v>0</v>
      </c>
      <c r="C73" s="36"/>
      <c r="D73" s="37"/>
      <c r="E73" s="38"/>
      <c r="F73" s="91">
        <f t="shared" si="7"/>
        <v>0</v>
      </c>
      <c r="G73" s="83"/>
      <c r="H73" s="94" t="s">
        <v>95</v>
      </c>
      <c r="I73" s="20">
        <v>200</v>
      </c>
      <c r="J73" s="63" t="s">
        <v>90</v>
      </c>
      <c r="K73" s="70" t="s">
        <v>91</v>
      </c>
      <c r="L73" s="65"/>
      <c r="M73" s="67"/>
      <c r="N73" s="67"/>
      <c r="O73" s="66"/>
    </row>
    <row r="74" s="10" customFormat="1" ht="18" customHeight="1" spans="1:15">
      <c r="A74" s="35"/>
      <c r="B74" s="86">
        <f t="shared" si="8"/>
        <v>86950</v>
      </c>
      <c r="C74" s="36"/>
      <c r="D74" s="37"/>
      <c r="E74" s="38"/>
      <c r="F74" s="91">
        <f t="shared" si="7"/>
        <v>0</v>
      </c>
      <c r="G74" s="83">
        <f>I74</f>
        <v>86950</v>
      </c>
      <c r="H74" s="94" t="s">
        <v>95</v>
      </c>
      <c r="I74" s="20">
        <v>86950</v>
      </c>
      <c r="J74" s="63" t="s">
        <v>90</v>
      </c>
      <c r="K74" s="70" t="s">
        <v>96</v>
      </c>
      <c r="L74" s="65"/>
      <c r="M74" s="67"/>
      <c r="N74" s="67"/>
      <c r="O74" s="66"/>
    </row>
    <row r="75" s="10" customFormat="1" ht="18" customHeight="1" spans="1:15">
      <c r="A75" s="35"/>
      <c r="B75" s="86">
        <f t="shared" si="8"/>
        <v>0</v>
      </c>
      <c r="C75" s="36"/>
      <c r="D75" s="37"/>
      <c r="E75" s="38"/>
      <c r="F75" s="91">
        <f t="shared" si="7"/>
        <v>0</v>
      </c>
      <c r="G75" s="83"/>
      <c r="H75" s="94" t="s">
        <v>95</v>
      </c>
      <c r="I75" s="95">
        <v>10300</v>
      </c>
      <c r="J75" s="63" t="s">
        <v>90</v>
      </c>
      <c r="K75" s="70" t="s">
        <v>97</v>
      </c>
      <c r="L75" s="66"/>
      <c r="M75" s="67"/>
      <c r="N75" s="67"/>
      <c r="O75" s="66"/>
    </row>
    <row r="76" s="10" customFormat="1" ht="18" customHeight="1" spans="1:15">
      <c r="A76" s="35"/>
      <c r="B76" s="86">
        <f t="shared" si="8"/>
        <v>0</v>
      </c>
      <c r="C76" s="36"/>
      <c r="D76" s="37"/>
      <c r="E76" s="38"/>
      <c r="F76" s="91">
        <f t="shared" si="7"/>
        <v>0</v>
      </c>
      <c r="G76" s="83"/>
      <c r="H76" s="94" t="s">
        <v>95</v>
      </c>
      <c r="I76" s="95">
        <v>-175680</v>
      </c>
      <c r="J76" s="63" t="s">
        <v>98</v>
      </c>
      <c r="K76" s="70" t="s">
        <v>99</v>
      </c>
      <c r="L76" s="66"/>
      <c r="M76" s="67"/>
      <c r="N76" s="67"/>
      <c r="O76" s="66"/>
    </row>
    <row r="77" s="10" customFormat="1" ht="18" customHeight="1" spans="1:15">
      <c r="A77" s="35"/>
      <c r="B77" s="86">
        <f t="shared" si="8"/>
        <v>0</v>
      </c>
      <c r="C77" s="36"/>
      <c r="D77" s="37"/>
      <c r="E77" s="38"/>
      <c r="F77" s="91">
        <f t="shared" si="7"/>
        <v>0</v>
      </c>
      <c r="G77" s="83"/>
      <c r="H77" s="94" t="s">
        <v>100</v>
      </c>
      <c r="I77" s="95">
        <v>56000</v>
      </c>
      <c r="J77" s="67" t="s">
        <v>90</v>
      </c>
      <c r="K77" s="65" t="s">
        <v>101</v>
      </c>
      <c r="L77" s="66"/>
      <c r="M77" s="67"/>
      <c r="N77" s="67"/>
      <c r="O77" s="66"/>
    </row>
    <row r="78" s="10" customFormat="1" ht="18" customHeight="1" spans="1:15">
      <c r="A78" s="35"/>
      <c r="B78" s="86">
        <f t="shared" si="8"/>
        <v>0</v>
      </c>
      <c r="C78" s="36"/>
      <c r="D78" s="37"/>
      <c r="E78" s="38"/>
      <c r="F78" s="91">
        <f t="shared" si="7"/>
        <v>0</v>
      </c>
      <c r="G78" s="83"/>
      <c r="H78" s="94" t="s">
        <v>100</v>
      </c>
      <c r="I78" s="95">
        <v>110620</v>
      </c>
      <c r="J78" s="67" t="s">
        <v>90</v>
      </c>
      <c r="K78" s="65" t="s">
        <v>102</v>
      </c>
      <c r="L78" s="66"/>
      <c r="M78" s="67"/>
      <c r="N78" s="67"/>
      <c r="O78" s="66"/>
    </row>
    <row r="79" s="10" customFormat="1" ht="18" customHeight="1" spans="1:15">
      <c r="A79" s="35"/>
      <c r="B79" s="86">
        <f t="shared" si="8"/>
        <v>0</v>
      </c>
      <c r="C79" s="36"/>
      <c r="D79" s="37"/>
      <c r="E79" s="38"/>
      <c r="F79" s="91">
        <f t="shared" si="7"/>
        <v>0</v>
      </c>
      <c r="G79" s="83"/>
      <c r="H79" s="94" t="s">
        <v>100</v>
      </c>
      <c r="I79" s="95">
        <v>123433.33</v>
      </c>
      <c r="J79" s="67" t="s">
        <v>90</v>
      </c>
      <c r="K79" s="65" t="s">
        <v>103</v>
      </c>
      <c r="L79" s="66"/>
      <c r="M79" s="67"/>
      <c r="N79" s="67"/>
      <c r="O79" s="66"/>
    </row>
    <row r="80" s="10" customFormat="1" ht="18" customHeight="1" spans="1:15">
      <c r="A80" s="35"/>
      <c r="B80" s="86">
        <f t="shared" si="8"/>
        <v>0</v>
      </c>
      <c r="C80" s="36"/>
      <c r="D80" s="37"/>
      <c r="E80" s="38"/>
      <c r="F80" s="91">
        <f t="shared" si="7"/>
        <v>0</v>
      </c>
      <c r="G80" s="83"/>
      <c r="H80" s="94" t="s">
        <v>100</v>
      </c>
      <c r="I80" s="95">
        <v>3000000</v>
      </c>
      <c r="J80" s="67" t="s">
        <v>90</v>
      </c>
      <c r="K80" s="65" t="s">
        <v>104</v>
      </c>
      <c r="L80" s="66"/>
      <c r="M80" s="67"/>
      <c r="N80" s="67"/>
      <c r="O80" s="66"/>
    </row>
    <row r="81" s="10" customFormat="1" ht="18" customHeight="1" spans="1:15">
      <c r="A81" s="35"/>
      <c r="B81" s="86">
        <f t="shared" si="8"/>
        <v>0</v>
      </c>
      <c r="C81" s="36"/>
      <c r="D81" s="37"/>
      <c r="E81" s="38"/>
      <c r="F81" s="91">
        <f t="shared" si="7"/>
        <v>0</v>
      </c>
      <c r="G81" s="83"/>
      <c r="H81" s="94" t="s">
        <v>100</v>
      </c>
      <c r="I81" s="95">
        <v>6000</v>
      </c>
      <c r="J81" s="67" t="s">
        <v>90</v>
      </c>
      <c r="K81" s="65" t="s">
        <v>101</v>
      </c>
      <c r="L81" s="66"/>
      <c r="M81" s="67"/>
      <c r="N81" s="67"/>
      <c r="O81" s="66"/>
    </row>
    <row r="82" s="10" customFormat="1" ht="18" customHeight="1" spans="1:15">
      <c r="A82" s="35"/>
      <c r="B82" s="86">
        <f t="shared" si="8"/>
        <v>0</v>
      </c>
      <c r="C82" s="36"/>
      <c r="D82" s="37"/>
      <c r="E82" s="38"/>
      <c r="F82" s="91">
        <f t="shared" si="7"/>
        <v>0</v>
      </c>
      <c r="G82" s="83"/>
      <c r="H82" s="94" t="s">
        <v>100</v>
      </c>
      <c r="I82" s="95">
        <v>78910</v>
      </c>
      <c r="J82" s="67" t="s">
        <v>90</v>
      </c>
      <c r="K82" s="65" t="s">
        <v>105</v>
      </c>
      <c r="L82" s="66"/>
      <c r="M82" s="67"/>
      <c r="N82" s="67"/>
      <c r="O82" s="66"/>
    </row>
    <row r="83" s="10" customFormat="1" ht="18" customHeight="1" spans="1:15">
      <c r="A83" s="35"/>
      <c r="B83" s="86">
        <f t="shared" si="8"/>
        <v>0</v>
      </c>
      <c r="C83" s="36"/>
      <c r="D83" s="37"/>
      <c r="E83" s="38"/>
      <c r="F83" s="91">
        <f t="shared" si="7"/>
        <v>0</v>
      </c>
      <c r="G83" s="83"/>
      <c r="H83" s="27" t="s">
        <v>106</v>
      </c>
      <c r="I83" s="95">
        <v>500</v>
      </c>
      <c r="J83" s="63" t="s">
        <v>90</v>
      </c>
      <c r="K83" s="65" t="s">
        <v>107</v>
      </c>
      <c r="L83" s="66"/>
      <c r="M83" s="67"/>
      <c r="N83" s="67"/>
      <c r="O83" s="66"/>
    </row>
    <row r="84" s="10" customFormat="1" ht="18" customHeight="1" spans="1:15">
      <c r="A84" s="35"/>
      <c r="B84" s="86">
        <f t="shared" si="8"/>
        <v>0</v>
      </c>
      <c r="C84" s="36"/>
      <c r="D84" s="37"/>
      <c r="E84" s="38"/>
      <c r="F84" s="91">
        <f t="shared" si="7"/>
        <v>0</v>
      </c>
      <c r="G84" s="83"/>
      <c r="H84" s="27" t="s">
        <v>106</v>
      </c>
      <c r="I84" s="95">
        <v>70924</v>
      </c>
      <c r="J84" s="63" t="s">
        <v>90</v>
      </c>
      <c r="K84" s="65" t="s">
        <v>105</v>
      </c>
      <c r="L84" s="66"/>
      <c r="M84" s="67"/>
      <c r="N84" s="67"/>
      <c r="O84" s="66"/>
    </row>
    <row r="85" s="10" customFormat="1" ht="18" customHeight="1" spans="1:15">
      <c r="A85" s="35"/>
      <c r="B85" s="86">
        <f t="shared" si="8"/>
        <v>0</v>
      </c>
      <c r="C85" s="36"/>
      <c r="D85" s="37"/>
      <c r="E85" s="38"/>
      <c r="F85" s="91">
        <f t="shared" si="7"/>
        <v>0</v>
      </c>
      <c r="G85" s="83"/>
      <c r="H85" s="27" t="s">
        <v>108</v>
      </c>
      <c r="I85" s="95">
        <v>175680</v>
      </c>
      <c r="J85" s="96" t="s">
        <v>109</v>
      </c>
      <c r="K85" s="97" t="s">
        <v>110</v>
      </c>
      <c r="L85" s="66"/>
      <c r="M85" s="67"/>
      <c r="N85" s="67"/>
      <c r="O85" s="66"/>
    </row>
    <row r="86" s="10" customFormat="1" ht="18" customHeight="1" spans="1:15">
      <c r="A86" s="35"/>
      <c r="B86" s="86">
        <f t="shared" si="8"/>
        <v>301000</v>
      </c>
      <c r="C86" s="36"/>
      <c r="D86" s="37"/>
      <c r="E86" s="38"/>
      <c r="F86" s="91">
        <f t="shared" si="7"/>
        <v>0</v>
      </c>
      <c r="G86" s="83">
        <f>121900+135625+43475</f>
        <v>301000</v>
      </c>
      <c r="H86" s="27"/>
      <c r="I86" s="95">
        <f>G86</f>
        <v>301000</v>
      </c>
      <c r="J86" s="63" t="s">
        <v>90</v>
      </c>
      <c r="K86" s="65" t="s">
        <v>96</v>
      </c>
      <c r="L86" s="66"/>
      <c r="M86" s="67"/>
      <c r="N86" s="67"/>
      <c r="O86" s="66"/>
    </row>
    <row r="87" ht="18" customHeight="1" spans="1:15">
      <c r="A87" s="32" t="s">
        <v>24</v>
      </c>
      <c r="B87" s="84">
        <f>SUM(B19:B86)</f>
        <v>16521511.3</v>
      </c>
      <c r="C87" s="32"/>
      <c r="D87" s="53"/>
      <c r="E87" s="53"/>
      <c r="F87" s="85">
        <f>SUM(F19:F86)</f>
        <v>1811192.03</v>
      </c>
      <c r="G87" s="98">
        <f>SUM(G19:G86)</f>
        <v>18332703.33</v>
      </c>
      <c r="H87" s="55"/>
      <c r="I87" s="99">
        <f>SUM(I19:I86)</f>
        <v>16417968.82</v>
      </c>
      <c r="J87" s="75"/>
      <c r="K87" s="53"/>
      <c r="L87" s="34"/>
      <c r="M87" s="63"/>
      <c r="N87" s="63"/>
      <c r="O87" s="34"/>
    </row>
    <row r="88" ht="18" customHeight="1" spans="1:14">
      <c r="A88" s="56" t="s">
        <v>111</v>
      </c>
      <c r="B88" s="56">
        <f>B16*0.936</f>
        <v>15679828.7582052</v>
      </c>
      <c r="C88" s="56"/>
      <c r="D88" s="58"/>
      <c r="E88" s="58"/>
      <c r="F88" s="56">
        <f t="shared" ref="F88:I88" si="9">F16-F87</f>
        <v>-525091.627531276</v>
      </c>
      <c r="G88" s="56">
        <f t="shared" si="9"/>
        <v>40389.950000003</v>
      </c>
      <c r="H88" s="1" t="s">
        <v>112</v>
      </c>
      <c r="I88" s="32">
        <f t="shared" si="9"/>
        <v>1955031.18</v>
      </c>
      <c r="J88" s="15"/>
      <c r="K88" s="76"/>
      <c r="M88" s="77"/>
      <c r="N88" s="77"/>
    </row>
    <row r="89" ht="18" customHeight="1" spans="1:14">
      <c r="A89" s="56" t="s">
        <v>113</v>
      </c>
      <c r="B89" s="56">
        <f>B88-B87</f>
        <v>-841682.541794831</v>
      </c>
      <c r="C89" s="56"/>
      <c r="D89" s="57"/>
      <c r="E89" s="58"/>
      <c r="F89" s="57"/>
      <c r="G89" s="57"/>
      <c r="H89" s="59"/>
      <c r="I89" s="57"/>
      <c r="J89" s="15"/>
      <c r="K89" s="76"/>
      <c r="M89" s="77"/>
      <c r="N89" s="77"/>
    </row>
    <row r="90" ht="18" customHeight="1" spans="1:3">
      <c r="A90" s="11" t="s">
        <v>114</v>
      </c>
      <c r="C90" s="11"/>
    </row>
    <row r="91" ht="18" customHeight="1" spans="1:11">
      <c r="A91" s="1" t="s">
        <v>115</v>
      </c>
      <c r="B91" s="3" t="s">
        <v>116</v>
      </c>
      <c r="C91" s="34"/>
      <c r="D91" s="1" t="s">
        <v>115</v>
      </c>
      <c r="E91" s="2" t="s">
        <v>16</v>
      </c>
      <c r="F91" s="3" t="s">
        <v>116</v>
      </c>
      <c r="G91" s="3" t="s">
        <v>117</v>
      </c>
      <c r="H91" s="3" t="s">
        <v>118</v>
      </c>
      <c r="I91" s="3" t="s">
        <v>119</v>
      </c>
      <c r="J91" s="20" t="s">
        <v>120</v>
      </c>
      <c r="K91" s="20" t="s">
        <v>121</v>
      </c>
    </row>
    <row r="92" ht="18" customHeight="1" spans="1:11">
      <c r="A92" s="34" t="s">
        <v>122</v>
      </c>
      <c r="B92" s="25">
        <f>(B88-B87)*0.25</f>
        <v>-210420.635448708</v>
      </c>
      <c r="C92" s="34"/>
      <c r="D92" s="4" t="s">
        <v>123</v>
      </c>
      <c r="E92" s="1" t="s">
        <v>124</v>
      </c>
      <c r="F92" s="5">
        <f>F16-F87</f>
        <v>-525091.627531276</v>
      </c>
      <c r="G92" s="5">
        <v>0</v>
      </c>
      <c r="H92" s="5">
        <v>0</v>
      </c>
      <c r="I92" s="5">
        <v>0</v>
      </c>
      <c r="J92" s="85">
        <f>F7+F8+F9+F10+F11-SUM(F19:F40)</f>
        <v>97593.4876063386</v>
      </c>
      <c r="K92" s="85">
        <f>F16-F87</f>
        <v>-525091.627531276</v>
      </c>
    </row>
    <row r="93" ht="18" customHeight="1" spans="1:11">
      <c r="A93" s="34" t="s">
        <v>125</v>
      </c>
      <c r="B93" s="79" t="s">
        <v>126</v>
      </c>
      <c r="C93" s="34"/>
      <c r="D93" s="6" t="s">
        <v>127</v>
      </c>
      <c r="E93" s="7">
        <v>0.07</v>
      </c>
      <c r="F93" s="8">
        <f>F92*E93</f>
        <v>-36756.4139271893</v>
      </c>
      <c r="G93" s="8">
        <v>0</v>
      </c>
      <c r="H93" s="8">
        <v>0</v>
      </c>
      <c r="I93" s="8">
        <v>0</v>
      </c>
      <c r="J93" s="20">
        <f>J92*E93</f>
        <v>6831.5441324437</v>
      </c>
      <c r="K93" s="20">
        <f>K92*0.07</f>
        <v>-36756.4139271893</v>
      </c>
    </row>
    <row r="94" ht="18" customHeight="1" spans="1:11">
      <c r="A94" s="34" t="s">
        <v>128</v>
      </c>
      <c r="B94" s="79" t="s">
        <v>126</v>
      </c>
      <c r="C94" s="34"/>
      <c r="D94" s="6" t="s">
        <v>129</v>
      </c>
      <c r="E94" s="7">
        <v>0.03</v>
      </c>
      <c r="F94" s="8">
        <f>F92*E94</f>
        <v>-15752.7488259383</v>
      </c>
      <c r="G94" s="8">
        <v>0</v>
      </c>
      <c r="H94" s="8">
        <v>0</v>
      </c>
      <c r="I94" s="8">
        <v>0</v>
      </c>
      <c r="J94" s="20">
        <f>J92*E94</f>
        <v>2927.80462819016</v>
      </c>
      <c r="K94" s="20">
        <f>K92*E94</f>
        <v>-15752.7488259383</v>
      </c>
    </row>
    <row r="95" ht="18" customHeight="1" spans="1:11">
      <c r="A95" s="34"/>
      <c r="B95" s="8"/>
      <c r="C95" s="34"/>
      <c r="D95" s="6" t="s">
        <v>130</v>
      </c>
      <c r="E95" s="7">
        <v>0.02</v>
      </c>
      <c r="F95" s="8">
        <f>F92*E95</f>
        <v>-10501.8325506255</v>
      </c>
      <c r="G95" s="8">
        <v>0</v>
      </c>
      <c r="H95" s="8">
        <v>0</v>
      </c>
      <c r="I95" s="8">
        <v>0</v>
      </c>
      <c r="J95" s="20">
        <f>J92*E95</f>
        <v>1951.86975212677</v>
      </c>
      <c r="K95" s="20">
        <f>K92*E95</f>
        <v>-10501.8325506255</v>
      </c>
    </row>
    <row r="96" ht="18" customHeight="1" spans="1:11">
      <c r="A96" s="4" t="s">
        <v>131</v>
      </c>
      <c r="B96" s="31">
        <f>SUM(B92:B95)</f>
        <v>-210420.635448708</v>
      </c>
      <c r="C96" s="34"/>
      <c r="D96" s="9" t="s">
        <v>131</v>
      </c>
      <c r="E96" s="4"/>
      <c r="F96" s="5">
        <f>SUM(F92:F95)</f>
        <v>-588102.622835029</v>
      </c>
      <c r="G96" s="5">
        <v>0</v>
      </c>
      <c r="H96" s="5">
        <v>0</v>
      </c>
      <c r="I96" s="5">
        <v>0</v>
      </c>
      <c r="J96" s="32">
        <f>SUM(J92:J95)</f>
        <v>109304.706119099</v>
      </c>
      <c r="K96" s="85">
        <f>SUM(K92:K95)</f>
        <v>-588102.622835029</v>
      </c>
    </row>
    <row r="97" ht="18" customHeight="1" spans="3:11">
      <c r="C97" s="11"/>
      <c r="D97" s="2" t="s">
        <v>24</v>
      </c>
      <c r="E97" s="32"/>
      <c r="F97" s="33">
        <f>F96</f>
        <v>-588102.622835029</v>
      </c>
      <c r="G97" s="33">
        <v>0</v>
      </c>
      <c r="H97" s="33">
        <v>0</v>
      </c>
      <c r="I97" s="33">
        <v>0</v>
      </c>
      <c r="J97" s="32"/>
      <c r="K97" s="32">
        <f>K96</f>
        <v>-588102.622835029</v>
      </c>
    </row>
    <row r="98" ht="18" customHeight="1" spans="3:11">
      <c r="C98" s="11"/>
      <c r="D98" s="32" t="s">
        <v>122</v>
      </c>
      <c r="E98" s="53">
        <v>0.016</v>
      </c>
      <c r="F98" s="33">
        <f>G16*E98</f>
        <v>293969.49248</v>
      </c>
      <c r="G98" s="33">
        <f>B7*E98</f>
        <v>70923.6363636364</v>
      </c>
      <c r="H98" s="33">
        <f>(B8+B9)*E98</f>
        <v>78909.0909090909</v>
      </c>
      <c r="I98" s="33">
        <f>B10*E98</f>
        <v>31709.0909090909</v>
      </c>
      <c r="J98" s="32">
        <f>G11*E98</f>
        <v>38080</v>
      </c>
      <c r="K98" s="32">
        <f>G12*E98</f>
        <v>56193.49248</v>
      </c>
    </row>
    <row r="99" ht="18" customHeight="1" spans="3:11">
      <c r="C99" s="11"/>
      <c r="J99" s="80" t="s">
        <v>132</v>
      </c>
      <c r="K99" s="34" t="s">
        <v>133</v>
      </c>
    </row>
    <row r="100" ht="18" customHeight="1" spans="3:11">
      <c r="C100" s="11"/>
      <c r="J100" s="80" t="s">
        <v>134</v>
      </c>
      <c r="K100" s="32">
        <f>F98-I84-I82-I78</f>
        <v>33515.49248</v>
      </c>
    </row>
    <row r="101" ht="18" customHeight="1"/>
    <row r="102" spans="3:3">
      <c r="C102" s="11"/>
    </row>
    <row r="103" spans="3:3">
      <c r="C103" s="11"/>
    </row>
    <row r="104" spans="3:3">
      <c r="C104" s="11"/>
    </row>
    <row r="105" spans="3:3">
      <c r="C105" s="11"/>
    </row>
    <row r="106" spans="3:3">
      <c r="C106" s="11"/>
    </row>
    <row r="107" spans="3:3">
      <c r="C107" s="11"/>
    </row>
    <row r="108" spans="3:3">
      <c r="C108" s="11"/>
    </row>
    <row r="109" spans="3:3">
      <c r="C109" s="11"/>
    </row>
    <row r="110" spans="3:3">
      <c r="C110" s="11"/>
    </row>
    <row r="111" spans="3:3">
      <c r="C111" s="11"/>
    </row>
    <row r="112" spans="3:3">
      <c r="C112" s="11"/>
    </row>
    <row r="113" spans="3:3">
      <c r="C113" s="11"/>
    </row>
    <row r="114" spans="3:3">
      <c r="C114" s="11"/>
    </row>
    <row r="115" spans="3:3">
      <c r="C115" s="11"/>
    </row>
    <row r="116" spans="3:3">
      <c r="C116" s="11"/>
    </row>
    <row r="117" spans="3:3">
      <c r="C117" s="11"/>
    </row>
    <row r="130" spans="12:12">
      <c r="L130" s="15">
        <v>98018.82</v>
      </c>
    </row>
  </sheetData>
  <protectedRanges>
    <protectedRange sqref="I43" name="区域1"/>
  </protectedRanges>
  <autoFilter ref="A18:O100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111111111111" right="0.236111111111111" top="0.314583333333333" bottom="0.156944444444444" header="0.314583333333333" footer="0.314583333333333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9"/>
  <sheetViews>
    <sheetView topLeftCell="A31" workbookViewId="0">
      <selection activeCell="J52" sqref="J52"/>
    </sheetView>
  </sheetViews>
  <sheetFormatPr defaultColWidth="9" defaultRowHeight="11.25"/>
  <cols>
    <col min="1" max="1" width="10.775" style="11" customWidth="1"/>
    <col min="2" max="2" width="13.1083333333333" style="12" customWidth="1"/>
    <col min="3" max="3" width="6" style="13" customWidth="1"/>
    <col min="4" max="4" width="13.3333333333333" style="13" customWidth="1"/>
    <col min="5" max="5" width="6" style="13" customWidth="1"/>
    <col min="6" max="6" width="13.1083333333333" style="12" customWidth="1"/>
    <col min="7" max="7" width="18.1083333333333" style="12" customWidth="1"/>
    <col min="8" max="8" width="11.775" style="13" customWidth="1"/>
    <col min="9" max="9" width="13.8833333333333" style="12" customWidth="1"/>
    <col min="10" max="10" width="12.1083333333333" style="14" customWidth="1"/>
    <col min="11" max="11" width="31.4416666666667" style="15" customWidth="1"/>
    <col min="12" max="12" width="12.775" style="15" customWidth="1"/>
    <col min="13" max="13" width="6" style="15" customWidth="1"/>
    <col min="14" max="14" width="5.66666666666667" style="15" customWidth="1"/>
    <col min="15" max="15" width="13" style="15" customWidth="1"/>
    <col min="16" max="16" width="9" style="15"/>
    <col min="17" max="17" width="18.8833333333333" style="15" customWidth="1"/>
    <col min="18" max="16384" width="9" style="15"/>
  </cols>
  <sheetData>
    <row r="1" ht="21.9" customHeight="1" spans="1:12">
      <c r="A1" s="16" t="s">
        <v>135</v>
      </c>
      <c r="B1" s="16"/>
      <c r="C1" s="16"/>
      <c r="D1" s="16"/>
      <c r="E1" s="16"/>
      <c r="F1" s="17"/>
      <c r="G1" s="17"/>
      <c r="H1" s="16"/>
      <c r="I1" s="17"/>
      <c r="J1" s="16"/>
      <c r="K1" s="26"/>
      <c r="L1" s="26"/>
    </row>
    <row r="2" ht="18" customHeight="1" spans="1:12">
      <c r="A2" s="18" t="s">
        <v>1</v>
      </c>
      <c r="B2" s="19">
        <v>43202</v>
      </c>
      <c r="C2" s="20" t="s">
        <v>2</v>
      </c>
      <c r="D2" s="81">
        <v>21965978.04</v>
      </c>
      <c r="E2" s="7" t="s">
        <v>3</v>
      </c>
      <c r="F2" s="22" t="s">
        <v>4</v>
      </c>
      <c r="G2" s="23" t="s">
        <v>5</v>
      </c>
      <c r="H2" s="24" t="s">
        <v>6</v>
      </c>
      <c r="I2" s="60"/>
      <c r="J2" s="61"/>
      <c r="K2" s="26"/>
      <c r="L2" s="26"/>
    </row>
    <row r="3" ht="18" customHeight="1" spans="1:12">
      <c r="A3" s="18" t="s">
        <v>7</v>
      </c>
      <c r="B3" s="25"/>
      <c r="C3" s="20" t="s">
        <v>8</v>
      </c>
      <c r="D3" s="20"/>
      <c r="H3" s="26"/>
      <c r="I3" s="62"/>
      <c r="J3" s="26"/>
      <c r="K3" s="26"/>
      <c r="L3" s="26"/>
    </row>
    <row r="4" ht="18" customHeight="1" spans="1:12">
      <c r="A4" s="11" t="s">
        <v>9</v>
      </c>
      <c r="H4" s="26"/>
      <c r="I4" s="62"/>
      <c r="J4" s="26"/>
      <c r="K4" s="26"/>
      <c r="L4" s="26"/>
    </row>
    <row r="5" ht="18" customHeight="1" spans="1:10">
      <c r="A5" s="2" t="s">
        <v>10</v>
      </c>
      <c r="B5" s="3" t="s">
        <v>11</v>
      </c>
      <c r="C5" s="2" t="s">
        <v>12</v>
      </c>
      <c r="D5" s="2"/>
      <c r="E5" s="2" t="s">
        <v>13</v>
      </c>
      <c r="F5" s="3"/>
      <c r="G5" s="3" t="s">
        <v>14</v>
      </c>
      <c r="H5" s="1" t="s">
        <v>15</v>
      </c>
      <c r="I5" s="3"/>
      <c r="J5" s="1"/>
    </row>
    <row r="6" ht="18" customHeight="1" spans="1:10">
      <c r="A6" s="2"/>
      <c r="B6" s="3"/>
      <c r="C6" s="2" t="s">
        <v>16</v>
      </c>
      <c r="D6" s="2" t="s">
        <v>17</v>
      </c>
      <c r="E6" s="2" t="s">
        <v>16</v>
      </c>
      <c r="F6" s="3" t="s">
        <v>17</v>
      </c>
      <c r="G6" s="3"/>
      <c r="H6" s="1" t="s">
        <v>18</v>
      </c>
      <c r="I6" s="3" t="s">
        <v>19</v>
      </c>
      <c r="J6" s="1" t="s">
        <v>20</v>
      </c>
    </row>
    <row r="7" ht="18" customHeight="1" spans="1:10">
      <c r="A7" s="27">
        <v>43385</v>
      </c>
      <c r="B7" s="20">
        <f t="shared" ref="B7:B12" si="0">G7/(1+C7+E7)</f>
        <v>4432727.27272727</v>
      </c>
      <c r="C7" s="28">
        <v>0.02</v>
      </c>
      <c r="D7" s="82">
        <f t="shared" ref="D7:D12" si="1">G7/(1+E7+C7)*C7</f>
        <v>88654.5454545455</v>
      </c>
      <c r="E7" s="28">
        <v>0.08</v>
      </c>
      <c r="F7" s="20">
        <f t="shared" ref="F7:F12" si="2">G7/(1+C7+E7)*E7</f>
        <v>354618.181818182</v>
      </c>
      <c r="G7" s="83">
        <v>4876000</v>
      </c>
      <c r="H7" s="27">
        <v>43305</v>
      </c>
      <c r="I7" s="20">
        <v>1098000</v>
      </c>
      <c r="J7" s="63" t="s">
        <v>21</v>
      </c>
    </row>
    <row r="8" ht="18" customHeight="1" spans="1:10">
      <c r="A8" s="27">
        <v>43412</v>
      </c>
      <c r="B8" s="20">
        <f t="shared" si="0"/>
        <v>1796363.63636364</v>
      </c>
      <c r="C8" s="28">
        <v>0.02</v>
      </c>
      <c r="D8" s="82">
        <f t="shared" si="1"/>
        <v>35927.2727272727</v>
      </c>
      <c r="E8" s="28">
        <v>0.08</v>
      </c>
      <c r="F8" s="20">
        <f t="shared" si="2"/>
        <v>143709.090909091</v>
      </c>
      <c r="G8" s="83">
        <v>1976000</v>
      </c>
      <c r="H8" s="27">
        <v>43396</v>
      </c>
      <c r="I8" s="20">
        <v>4876000</v>
      </c>
      <c r="J8" s="63" t="s">
        <v>21</v>
      </c>
    </row>
    <row r="9" ht="18" customHeight="1" spans="1:10">
      <c r="A9" s="27">
        <v>43412</v>
      </c>
      <c r="B9" s="20">
        <f t="shared" si="0"/>
        <v>3135454.54545455</v>
      </c>
      <c r="C9" s="28">
        <v>0.02</v>
      </c>
      <c r="D9" s="82">
        <f t="shared" si="1"/>
        <v>62709.0909090909</v>
      </c>
      <c r="E9" s="28">
        <v>0.08</v>
      </c>
      <c r="F9" s="20">
        <f t="shared" si="2"/>
        <v>250836.363636364</v>
      </c>
      <c r="G9" s="83">
        <v>3449000</v>
      </c>
      <c r="H9" s="27">
        <v>43423</v>
      </c>
      <c r="I9" s="20">
        <v>5425000</v>
      </c>
      <c r="J9" s="63" t="s">
        <v>21</v>
      </c>
    </row>
    <row r="10" ht="18" customHeight="1" spans="1:15">
      <c r="A10" s="27">
        <v>43473</v>
      </c>
      <c r="B10" s="20">
        <f t="shared" si="0"/>
        <v>1981818.18181818</v>
      </c>
      <c r="C10" s="28">
        <v>0.02</v>
      </c>
      <c r="D10" s="82">
        <f t="shared" si="1"/>
        <v>39636.3636363636</v>
      </c>
      <c r="E10" s="28">
        <v>0.08</v>
      </c>
      <c r="F10" s="20">
        <f t="shared" si="2"/>
        <v>158545.454545455</v>
      </c>
      <c r="G10" s="83">
        <v>2180000</v>
      </c>
      <c r="H10" s="27">
        <v>43497</v>
      </c>
      <c r="I10" s="20">
        <v>1739000</v>
      </c>
      <c r="J10" s="63" t="s">
        <v>21</v>
      </c>
      <c r="O10" s="40">
        <f>ROUND(G17/(1+E17)*E17,2)</f>
        <v>0</v>
      </c>
    </row>
    <row r="11" ht="18" customHeight="1" spans="1:11">
      <c r="A11" s="27">
        <v>43780</v>
      </c>
      <c r="B11" s="20">
        <f t="shared" si="0"/>
        <v>2183486.23853211</v>
      </c>
      <c r="C11" s="28">
        <v>0.02</v>
      </c>
      <c r="D11" s="82">
        <f t="shared" si="1"/>
        <v>43669.7247706422</v>
      </c>
      <c r="E11" s="28">
        <v>0.07</v>
      </c>
      <c r="F11" s="20">
        <f t="shared" si="2"/>
        <v>152844.036697248</v>
      </c>
      <c r="G11" s="83">
        <v>2380000</v>
      </c>
      <c r="H11" s="27">
        <v>43852</v>
      </c>
      <c r="I11" s="20">
        <v>2026000</v>
      </c>
      <c r="J11" s="63" t="s">
        <v>21</v>
      </c>
      <c r="K11" s="12"/>
    </row>
    <row r="12" ht="18" customHeight="1" spans="1:10">
      <c r="A12" s="27"/>
      <c r="B12" s="20">
        <f t="shared" si="0"/>
        <v>0</v>
      </c>
      <c r="C12" s="28">
        <v>0.02</v>
      </c>
      <c r="D12" s="82">
        <f t="shared" si="1"/>
        <v>0</v>
      </c>
      <c r="E12" s="28">
        <v>0.07</v>
      </c>
      <c r="F12" s="20">
        <f t="shared" si="2"/>
        <v>0</v>
      </c>
      <c r="G12" s="83"/>
      <c r="H12" s="27">
        <v>43852</v>
      </c>
      <c r="I12" s="20">
        <v>354000</v>
      </c>
      <c r="J12" s="63" t="s">
        <v>21</v>
      </c>
    </row>
    <row r="13" ht="18" customHeight="1" spans="1:10">
      <c r="A13" s="4" t="s">
        <v>24</v>
      </c>
      <c r="B13" s="84">
        <f t="shared" ref="B13:G13" si="3">SUM(B7:B12)</f>
        <v>13529849.8748957</v>
      </c>
      <c r="C13" s="32"/>
      <c r="D13" s="32">
        <f t="shared" si="3"/>
        <v>270596.997497915</v>
      </c>
      <c r="E13" s="32"/>
      <c r="F13" s="85">
        <f t="shared" si="3"/>
        <v>1060553.12760634</v>
      </c>
      <c r="G13" s="32">
        <f t="shared" si="3"/>
        <v>14861000</v>
      </c>
      <c r="H13" s="34"/>
      <c r="I13" s="32">
        <f>SUM(I7:I12)</f>
        <v>15518000</v>
      </c>
      <c r="J13" s="34"/>
    </row>
    <row r="14" ht="18" customHeight="1" spans="1:12">
      <c r="A14" s="11" t="s">
        <v>25</v>
      </c>
      <c r="J14" s="13"/>
      <c r="K14" s="13"/>
      <c r="L14" s="14"/>
    </row>
    <row r="15" ht="18" customHeight="1" spans="1:15">
      <c r="A15" s="9" t="s">
        <v>26</v>
      </c>
      <c r="B15" s="3" t="s">
        <v>27</v>
      </c>
      <c r="C15" s="2" t="s">
        <v>28</v>
      </c>
      <c r="D15" s="2" t="s">
        <v>29</v>
      </c>
      <c r="E15" s="2" t="s">
        <v>16</v>
      </c>
      <c r="F15" s="3" t="s">
        <v>30</v>
      </c>
      <c r="G15" s="3" t="s">
        <v>14</v>
      </c>
      <c r="H15" s="2" t="s">
        <v>31</v>
      </c>
      <c r="I15" s="3" t="s">
        <v>32</v>
      </c>
      <c r="J15" s="2" t="s">
        <v>20</v>
      </c>
      <c r="K15" s="64" t="s">
        <v>33</v>
      </c>
      <c r="L15" s="1" t="s">
        <v>34</v>
      </c>
      <c r="M15" s="1" t="s">
        <v>35</v>
      </c>
      <c r="N15" s="1" t="s">
        <v>36</v>
      </c>
      <c r="O15" s="1" t="s">
        <v>37</v>
      </c>
    </row>
    <row r="16" s="10" customFormat="1" ht="18" customHeight="1" spans="1:15">
      <c r="A16" s="35">
        <v>43238</v>
      </c>
      <c r="B16" s="86">
        <f t="shared" ref="B16:B46" si="4">ROUND(G16/(1+E16),2)</f>
        <v>137264.15</v>
      </c>
      <c r="C16" s="36"/>
      <c r="D16" s="37"/>
      <c r="E16" s="38">
        <v>0.06</v>
      </c>
      <c r="F16" s="86">
        <f t="shared" ref="F16:F46" si="5">ROUND(G16/(1+E16)*E16,2)</f>
        <v>8235.85</v>
      </c>
      <c r="G16" s="83">
        <v>145500</v>
      </c>
      <c r="H16" s="27"/>
      <c r="I16" s="20"/>
      <c r="J16" s="63"/>
      <c r="K16" s="65" t="s">
        <v>38</v>
      </c>
      <c r="L16" s="66"/>
      <c r="M16" s="67"/>
      <c r="N16" s="67"/>
      <c r="O16" s="66"/>
    </row>
    <row r="17" s="10" customFormat="1" ht="18" customHeight="1" spans="1:15">
      <c r="A17" s="39"/>
      <c r="B17" s="87"/>
      <c r="C17" s="41"/>
      <c r="D17" s="42"/>
      <c r="E17" s="43"/>
      <c r="F17" s="88"/>
      <c r="G17" s="89"/>
      <c r="H17" s="45" t="s">
        <v>39</v>
      </c>
      <c r="I17" s="87">
        <v>76612.77</v>
      </c>
      <c r="J17" s="68" t="s">
        <v>21</v>
      </c>
      <c r="K17" s="69" t="s">
        <v>40</v>
      </c>
      <c r="L17" s="66"/>
      <c r="M17" s="67"/>
      <c r="N17" s="67"/>
      <c r="O17" s="66" t="s">
        <v>41</v>
      </c>
    </row>
    <row r="18" s="10" customFormat="1" ht="18" customHeight="1" spans="1:15">
      <c r="A18" s="35"/>
      <c r="B18" s="86">
        <f t="shared" si="4"/>
        <v>0</v>
      </c>
      <c r="C18" s="36"/>
      <c r="D18" s="37"/>
      <c r="E18" s="38"/>
      <c r="F18" s="86">
        <f t="shared" si="5"/>
        <v>0</v>
      </c>
      <c r="G18" s="83"/>
      <c r="H18" s="27" t="s">
        <v>39</v>
      </c>
      <c r="I18" s="20">
        <v>-76612.77</v>
      </c>
      <c r="J18" s="63" t="s">
        <v>42</v>
      </c>
      <c r="K18" s="65" t="s">
        <v>43</v>
      </c>
      <c r="L18" s="66"/>
      <c r="M18" s="67"/>
      <c r="N18" s="67"/>
      <c r="O18" s="66"/>
    </row>
    <row r="19" s="10" customFormat="1" ht="18" customHeight="1" spans="1:15">
      <c r="A19" s="35">
        <v>43299</v>
      </c>
      <c r="B19" s="86">
        <f t="shared" si="4"/>
        <v>689655.17</v>
      </c>
      <c r="C19" s="36"/>
      <c r="D19" s="37"/>
      <c r="E19" s="38">
        <v>0.16</v>
      </c>
      <c r="F19" s="86">
        <f t="shared" si="5"/>
        <v>110344.83</v>
      </c>
      <c r="G19" s="83">
        <v>800000</v>
      </c>
      <c r="H19" s="27" t="s">
        <v>44</v>
      </c>
      <c r="I19" s="20">
        <v>800000</v>
      </c>
      <c r="J19" s="63" t="s">
        <v>21</v>
      </c>
      <c r="K19" s="65" t="s">
        <v>45</v>
      </c>
      <c r="L19" s="66" t="s">
        <v>46</v>
      </c>
      <c r="M19" s="67"/>
      <c r="N19" s="67"/>
      <c r="O19" s="66"/>
    </row>
    <row r="20" s="10" customFormat="1" ht="18" customHeight="1" spans="1:15">
      <c r="A20" s="35">
        <v>43396</v>
      </c>
      <c r="B20" s="86">
        <f t="shared" si="4"/>
        <v>2099184.47</v>
      </c>
      <c r="C20" s="36"/>
      <c r="D20" s="37" t="s">
        <v>47</v>
      </c>
      <c r="E20" s="38">
        <v>0.03</v>
      </c>
      <c r="F20" s="86">
        <f t="shared" si="5"/>
        <v>62975.53</v>
      </c>
      <c r="G20" s="83">
        <f>21*102960</f>
        <v>2162160</v>
      </c>
      <c r="H20" s="27" t="s">
        <v>44</v>
      </c>
      <c r="I20" s="20">
        <v>122320</v>
      </c>
      <c r="J20" s="63" t="s">
        <v>21</v>
      </c>
      <c r="K20" s="65" t="s">
        <v>48</v>
      </c>
      <c r="L20" s="66" t="s">
        <v>49</v>
      </c>
      <c r="M20" s="67"/>
      <c r="N20" s="67"/>
      <c r="O20" s="66"/>
    </row>
    <row r="21" s="10" customFormat="1" ht="18" customHeight="1" spans="1:15">
      <c r="A21" s="35"/>
      <c r="B21" s="86">
        <f t="shared" si="4"/>
        <v>0</v>
      </c>
      <c r="C21" s="36"/>
      <c r="D21" s="37"/>
      <c r="E21" s="38"/>
      <c r="F21" s="86">
        <f t="shared" si="5"/>
        <v>0</v>
      </c>
      <c r="G21" s="83"/>
      <c r="H21" s="27" t="s">
        <v>50</v>
      </c>
      <c r="I21" s="20">
        <v>-1500000</v>
      </c>
      <c r="J21" s="63" t="s">
        <v>42</v>
      </c>
      <c r="K21" s="65" t="s">
        <v>43</v>
      </c>
      <c r="L21" s="66"/>
      <c r="M21" s="67"/>
      <c r="N21" s="67"/>
      <c r="O21" s="66"/>
    </row>
    <row r="22" s="10" customFormat="1" ht="18" customHeight="1" spans="1:15">
      <c r="A22" s="35">
        <v>43374</v>
      </c>
      <c r="B22" s="86">
        <f t="shared" si="4"/>
        <v>1293103.45</v>
      </c>
      <c r="C22" s="36"/>
      <c r="D22" s="37" t="s">
        <v>47</v>
      </c>
      <c r="E22" s="38">
        <v>0.16</v>
      </c>
      <c r="F22" s="86">
        <f t="shared" si="5"/>
        <v>206896.55</v>
      </c>
      <c r="G22" s="83">
        <f>545501.2+954498.8</f>
        <v>1500000</v>
      </c>
      <c r="H22" s="27" t="s">
        <v>50</v>
      </c>
      <c r="I22" s="20">
        <v>1500000</v>
      </c>
      <c r="J22" s="63" t="s">
        <v>21</v>
      </c>
      <c r="K22" s="65" t="s">
        <v>51</v>
      </c>
      <c r="L22" s="66" t="s">
        <v>46</v>
      </c>
      <c r="M22" s="67"/>
      <c r="N22" s="67"/>
      <c r="O22" s="66"/>
    </row>
    <row r="23" s="10" customFormat="1" ht="18" customHeight="1" spans="1:15">
      <c r="A23" s="35"/>
      <c r="B23" s="86">
        <f t="shared" si="4"/>
        <v>0</v>
      </c>
      <c r="C23" s="36"/>
      <c r="D23" s="37"/>
      <c r="E23" s="38"/>
      <c r="F23" s="86">
        <f t="shared" si="5"/>
        <v>0</v>
      </c>
      <c r="G23" s="83"/>
      <c r="H23" s="27" t="s">
        <v>50</v>
      </c>
      <c r="I23" s="20">
        <v>2000000</v>
      </c>
      <c r="J23" s="63" t="s">
        <v>21</v>
      </c>
      <c r="K23" s="65" t="s">
        <v>48</v>
      </c>
      <c r="L23" s="66" t="s">
        <v>52</v>
      </c>
      <c r="M23" s="67"/>
      <c r="N23" s="67"/>
      <c r="O23" s="66"/>
    </row>
    <row r="24" s="10" customFormat="1" ht="18" customHeight="1" spans="1:15">
      <c r="A24" s="35"/>
      <c r="B24" s="86">
        <f t="shared" si="4"/>
        <v>0</v>
      </c>
      <c r="C24" s="36"/>
      <c r="D24" s="37"/>
      <c r="E24" s="38"/>
      <c r="F24" s="86">
        <f t="shared" si="5"/>
        <v>0</v>
      </c>
      <c r="G24" s="83"/>
      <c r="H24" s="27" t="s">
        <v>50</v>
      </c>
      <c r="I24" s="20">
        <v>-2000000</v>
      </c>
      <c r="J24" s="63" t="s">
        <v>21</v>
      </c>
      <c r="K24" s="65" t="s">
        <v>53</v>
      </c>
      <c r="L24" s="66" t="s">
        <v>54</v>
      </c>
      <c r="M24" s="67"/>
      <c r="N24" s="67"/>
      <c r="O24" s="66"/>
    </row>
    <row r="25" s="10" customFormat="1" ht="18" customHeight="1" spans="1:15">
      <c r="A25" s="35">
        <v>43374</v>
      </c>
      <c r="B25" s="86">
        <f t="shared" si="4"/>
        <v>368000</v>
      </c>
      <c r="C25" s="36"/>
      <c r="D25" s="37" t="s">
        <v>55</v>
      </c>
      <c r="E25" s="38"/>
      <c r="F25" s="86">
        <f t="shared" si="5"/>
        <v>0</v>
      </c>
      <c r="G25" s="83">
        <v>368000</v>
      </c>
      <c r="H25" s="27"/>
      <c r="I25" s="20"/>
      <c r="J25" s="63"/>
      <c r="K25" s="65" t="s">
        <v>56</v>
      </c>
      <c r="L25" s="66" t="s">
        <v>57</v>
      </c>
      <c r="M25" s="67"/>
      <c r="N25" s="67"/>
      <c r="O25" s="66"/>
    </row>
    <row r="26" s="10" customFormat="1" ht="18" customHeight="1" spans="1:15">
      <c r="A26" s="35"/>
      <c r="B26" s="86">
        <f t="shared" si="4"/>
        <v>0</v>
      </c>
      <c r="C26" s="36"/>
      <c r="D26" s="37"/>
      <c r="E26" s="38"/>
      <c r="F26" s="86">
        <f t="shared" si="5"/>
        <v>0</v>
      </c>
      <c r="G26" s="83"/>
      <c r="H26" s="27">
        <v>43390</v>
      </c>
      <c r="I26" s="20">
        <v>1000000</v>
      </c>
      <c r="J26" s="63" t="s">
        <v>21</v>
      </c>
      <c r="K26" s="65" t="s">
        <v>48</v>
      </c>
      <c r="L26" s="66" t="s">
        <v>52</v>
      </c>
      <c r="M26" s="67"/>
      <c r="N26" s="67"/>
      <c r="O26" s="66"/>
    </row>
    <row r="27" s="10" customFormat="1" ht="18" customHeight="1" spans="1:15">
      <c r="A27" s="35"/>
      <c r="B27" s="86">
        <f t="shared" si="4"/>
        <v>0</v>
      </c>
      <c r="C27" s="36"/>
      <c r="D27" s="37"/>
      <c r="E27" s="38"/>
      <c r="F27" s="86">
        <f t="shared" si="5"/>
        <v>0</v>
      </c>
      <c r="G27" s="83"/>
      <c r="H27" s="27">
        <v>43390</v>
      </c>
      <c r="I27" s="20">
        <v>-1000000</v>
      </c>
      <c r="J27" s="63" t="s">
        <v>21</v>
      </c>
      <c r="K27" s="65" t="s">
        <v>53</v>
      </c>
      <c r="L27" s="66" t="s">
        <v>54</v>
      </c>
      <c r="M27" s="67"/>
      <c r="N27" s="67"/>
      <c r="O27" s="66"/>
    </row>
    <row r="28" s="10" customFormat="1" ht="18" customHeight="1" spans="1:15">
      <c r="A28" s="35"/>
      <c r="B28" s="86">
        <f t="shared" si="4"/>
        <v>0</v>
      </c>
      <c r="C28" s="36"/>
      <c r="D28" s="37"/>
      <c r="E28" s="38"/>
      <c r="F28" s="86">
        <f t="shared" si="5"/>
        <v>0</v>
      </c>
      <c r="G28" s="83"/>
      <c r="H28" s="27">
        <v>43397</v>
      </c>
      <c r="I28" s="20">
        <v>1000000</v>
      </c>
      <c r="J28" s="63" t="s">
        <v>21</v>
      </c>
      <c r="K28" s="65" t="s">
        <v>51</v>
      </c>
      <c r="L28" s="66" t="s">
        <v>46</v>
      </c>
      <c r="M28" s="67"/>
      <c r="N28" s="67"/>
      <c r="O28" s="66"/>
    </row>
    <row r="29" s="10" customFormat="1" ht="18" customHeight="1" spans="1:15">
      <c r="A29" s="35"/>
      <c r="B29" s="86">
        <f t="shared" si="4"/>
        <v>0</v>
      </c>
      <c r="C29" s="36"/>
      <c r="D29" s="37"/>
      <c r="E29" s="38"/>
      <c r="F29" s="86">
        <f t="shared" si="5"/>
        <v>0</v>
      </c>
      <c r="G29" s="83"/>
      <c r="H29" s="27">
        <v>43398</v>
      </c>
      <c r="I29" s="20">
        <v>368000</v>
      </c>
      <c r="J29" s="63" t="s">
        <v>42</v>
      </c>
      <c r="K29" s="65" t="s">
        <v>43</v>
      </c>
      <c r="L29" s="66"/>
      <c r="M29" s="67"/>
      <c r="N29" s="67"/>
      <c r="O29" s="66"/>
    </row>
    <row r="30" s="10" customFormat="1" ht="18" customHeight="1" spans="1:15">
      <c r="A30" s="35">
        <v>43405</v>
      </c>
      <c r="B30" s="86">
        <f t="shared" si="4"/>
        <v>4211495.15</v>
      </c>
      <c r="C30" s="36"/>
      <c r="D30" s="37" t="s">
        <v>47</v>
      </c>
      <c r="E30" s="38">
        <v>0.03</v>
      </c>
      <c r="F30" s="86">
        <f t="shared" si="5"/>
        <v>126344.85</v>
      </c>
      <c r="G30" s="83">
        <v>4337840</v>
      </c>
      <c r="H30" s="27">
        <v>43398</v>
      </c>
      <c r="I30" s="20">
        <v>1738063.23</v>
      </c>
      <c r="J30" s="63" t="s">
        <v>21</v>
      </c>
      <c r="K30" s="65" t="s">
        <v>48</v>
      </c>
      <c r="L30" s="66"/>
      <c r="M30" s="67"/>
      <c r="N30" s="67"/>
      <c r="O30" s="66"/>
    </row>
    <row r="31" s="10" customFormat="1" ht="18" customHeight="1" spans="1:15">
      <c r="A31" s="35"/>
      <c r="B31" s="86">
        <f t="shared" si="4"/>
        <v>0</v>
      </c>
      <c r="C31" s="36"/>
      <c r="D31" s="37"/>
      <c r="E31" s="38"/>
      <c r="F31" s="86">
        <f t="shared" si="5"/>
        <v>0</v>
      </c>
      <c r="G31" s="83"/>
      <c r="H31" s="27">
        <v>43413</v>
      </c>
      <c r="I31" s="20">
        <v>500000</v>
      </c>
      <c r="J31" s="63" t="s">
        <v>21</v>
      </c>
      <c r="K31" s="65" t="s">
        <v>51</v>
      </c>
      <c r="L31" s="66" t="s">
        <v>46</v>
      </c>
      <c r="M31" s="67"/>
      <c r="N31" s="67"/>
      <c r="O31" s="66"/>
    </row>
    <row r="32" s="10" customFormat="1" ht="18" customHeight="1" spans="1:15">
      <c r="A32" s="35"/>
      <c r="B32" s="86">
        <f t="shared" si="4"/>
        <v>0</v>
      </c>
      <c r="C32" s="36"/>
      <c r="D32" s="37"/>
      <c r="E32" s="38"/>
      <c r="F32" s="86">
        <f t="shared" si="5"/>
        <v>0</v>
      </c>
      <c r="G32" s="83"/>
      <c r="H32" s="27">
        <v>43412</v>
      </c>
      <c r="I32" s="20">
        <v>-500000</v>
      </c>
      <c r="J32" s="63" t="s">
        <v>42</v>
      </c>
      <c r="K32" s="65" t="s">
        <v>43</v>
      </c>
      <c r="L32" s="66"/>
      <c r="M32" s="67"/>
      <c r="N32" s="67"/>
      <c r="O32" s="66"/>
    </row>
    <row r="33" ht="18" customHeight="1" spans="1:15">
      <c r="A33" s="46">
        <v>43405</v>
      </c>
      <c r="B33" s="20">
        <f t="shared" si="4"/>
        <v>1724137.93</v>
      </c>
      <c r="C33" s="47"/>
      <c r="D33" s="48" t="s">
        <v>47</v>
      </c>
      <c r="E33" s="49">
        <v>0.16</v>
      </c>
      <c r="F33" s="20">
        <f t="shared" si="5"/>
        <v>275862.07</v>
      </c>
      <c r="G33" s="90">
        <f>1000000+500000*2</f>
        <v>2000000</v>
      </c>
      <c r="H33" s="27">
        <v>43424</v>
      </c>
      <c r="I33" s="20">
        <v>500000</v>
      </c>
      <c r="J33" s="63" t="s">
        <v>21</v>
      </c>
      <c r="K33" s="70" t="s">
        <v>51</v>
      </c>
      <c r="L33" s="34" t="s">
        <v>46</v>
      </c>
      <c r="M33" s="63"/>
      <c r="N33" s="63"/>
      <c r="O33" s="34"/>
    </row>
    <row r="34" s="10" customFormat="1" ht="18" customHeight="1" spans="1:15">
      <c r="A34" s="35"/>
      <c r="B34" s="86">
        <f t="shared" si="4"/>
        <v>0</v>
      </c>
      <c r="C34" s="36"/>
      <c r="D34" s="37"/>
      <c r="E34" s="38"/>
      <c r="F34" s="86">
        <f t="shared" si="5"/>
        <v>0</v>
      </c>
      <c r="G34" s="83"/>
      <c r="H34" s="27">
        <v>43426</v>
      </c>
      <c r="I34" s="20">
        <v>1639616.77</v>
      </c>
      <c r="J34" s="63" t="s">
        <v>21</v>
      </c>
      <c r="K34" s="65" t="s">
        <v>48</v>
      </c>
      <c r="L34" s="66" t="s">
        <v>49</v>
      </c>
      <c r="M34" s="67"/>
      <c r="N34" s="67"/>
      <c r="O34" s="66"/>
    </row>
    <row r="35" s="10" customFormat="1" ht="18" customHeight="1" spans="1:15">
      <c r="A35" s="35">
        <v>43435</v>
      </c>
      <c r="B35" s="86">
        <f t="shared" si="4"/>
        <v>184000</v>
      </c>
      <c r="C35" s="36"/>
      <c r="D35" s="37" t="s">
        <v>58</v>
      </c>
      <c r="E35" s="38"/>
      <c r="F35" s="86">
        <f t="shared" si="5"/>
        <v>0</v>
      </c>
      <c r="G35" s="83">
        <f>92000*2</f>
        <v>184000</v>
      </c>
      <c r="H35" s="27"/>
      <c r="I35" s="20"/>
      <c r="J35" s="63"/>
      <c r="K35" s="65" t="s">
        <v>59</v>
      </c>
      <c r="L35" s="66" t="s">
        <v>60</v>
      </c>
      <c r="M35" s="67"/>
      <c r="N35" s="67"/>
      <c r="O35" s="66"/>
    </row>
    <row r="36" s="10" customFormat="1" ht="18" customHeight="1" spans="1:15">
      <c r="A36" s="35">
        <v>43466</v>
      </c>
      <c r="B36" s="86">
        <f t="shared" si="4"/>
        <v>1145631.07</v>
      </c>
      <c r="C36" s="36"/>
      <c r="D36" s="37"/>
      <c r="E36" s="38">
        <v>0.03</v>
      </c>
      <c r="F36" s="86">
        <f t="shared" si="5"/>
        <v>34368.93</v>
      </c>
      <c r="G36" s="83">
        <f>47440+102960*11</f>
        <v>1180000</v>
      </c>
      <c r="H36" s="27">
        <v>43498</v>
      </c>
      <c r="I36" s="20">
        <v>1180000</v>
      </c>
      <c r="J36" s="63" t="s">
        <v>21</v>
      </c>
      <c r="K36" s="65" t="s">
        <v>48</v>
      </c>
      <c r="L36" s="66" t="s">
        <v>49</v>
      </c>
      <c r="M36" s="67"/>
      <c r="N36" s="67"/>
      <c r="O36" s="66"/>
    </row>
    <row r="37" s="10" customFormat="1" ht="18" customHeight="1" spans="1:15">
      <c r="A37" s="35">
        <v>43466</v>
      </c>
      <c r="B37" s="86">
        <f t="shared" si="4"/>
        <v>862068.97</v>
      </c>
      <c r="C37" s="36"/>
      <c r="D37" s="37"/>
      <c r="E37" s="38">
        <v>0.16</v>
      </c>
      <c r="F37" s="86">
        <f t="shared" si="5"/>
        <v>137931.03</v>
      </c>
      <c r="G37" s="83">
        <v>1000000</v>
      </c>
      <c r="H37" s="27"/>
      <c r="I37" s="20"/>
      <c r="J37" s="63"/>
      <c r="K37" s="65" t="s">
        <v>51</v>
      </c>
      <c r="L37" s="66" t="s">
        <v>46</v>
      </c>
      <c r="M37" s="67"/>
      <c r="N37" s="67"/>
      <c r="O37" s="66"/>
    </row>
    <row r="38" s="10" customFormat="1" ht="18" customHeight="1" spans="1:15">
      <c r="A38" s="35"/>
      <c r="B38" s="86">
        <f t="shared" si="4"/>
        <v>0</v>
      </c>
      <c r="C38" s="36"/>
      <c r="D38" s="37"/>
      <c r="E38" s="38"/>
      <c r="F38" s="86">
        <f t="shared" si="5"/>
        <v>0</v>
      </c>
      <c r="G38" s="83"/>
      <c r="H38" s="27">
        <v>43488</v>
      </c>
      <c r="I38" s="20">
        <v>1000000</v>
      </c>
      <c r="J38" s="63" t="s">
        <v>21</v>
      </c>
      <c r="K38" s="65" t="s">
        <v>51</v>
      </c>
      <c r="L38" s="66" t="s">
        <v>46</v>
      </c>
      <c r="M38" s="67"/>
      <c r="N38" s="67"/>
      <c r="O38" s="66"/>
    </row>
    <row r="39" s="10" customFormat="1" ht="18" customHeight="1" spans="1:15">
      <c r="A39" s="35"/>
      <c r="B39" s="86">
        <f t="shared" si="4"/>
        <v>0</v>
      </c>
      <c r="C39" s="36"/>
      <c r="D39" s="37"/>
      <c r="E39" s="38"/>
      <c r="F39" s="91">
        <f t="shared" si="5"/>
        <v>0</v>
      </c>
      <c r="G39" s="83"/>
      <c r="H39" s="27">
        <v>43488</v>
      </c>
      <c r="I39" s="20">
        <v>-1000000</v>
      </c>
      <c r="J39" s="63" t="s">
        <v>42</v>
      </c>
      <c r="K39" s="65" t="s">
        <v>43</v>
      </c>
      <c r="L39" s="66"/>
      <c r="M39" s="67"/>
      <c r="N39" s="67"/>
      <c r="O39" s="66"/>
    </row>
    <row r="40" s="10" customFormat="1" ht="18" customHeight="1" spans="1:15">
      <c r="A40" s="35"/>
      <c r="B40" s="86">
        <f t="shared" si="4"/>
        <v>0</v>
      </c>
      <c r="C40" s="36"/>
      <c r="D40" s="37"/>
      <c r="E40" s="38"/>
      <c r="F40" s="91">
        <f t="shared" si="5"/>
        <v>0</v>
      </c>
      <c r="G40" s="83"/>
      <c r="H40" s="27">
        <v>43499</v>
      </c>
      <c r="I40" s="71">
        <v>290319.9</v>
      </c>
      <c r="J40" s="63" t="s">
        <v>42</v>
      </c>
      <c r="K40" s="65" t="s">
        <v>43</v>
      </c>
      <c r="L40" s="66"/>
      <c r="M40" s="67"/>
      <c r="N40" s="67"/>
      <c r="O40" s="66"/>
    </row>
    <row r="41" s="10" customFormat="1" ht="18" customHeight="1" spans="1:15">
      <c r="A41" s="35"/>
      <c r="B41" s="86">
        <f t="shared" si="4"/>
        <v>0</v>
      </c>
      <c r="C41" s="36"/>
      <c r="D41" s="37"/>
      <c r="E41" s="38"/>
      <c r="F41" s="91">
        <f t="shared" si="5"/>
        <v>0</v>
      </c>
      <c r="G41" s="83"/>
      <c r="H41" s="27">
        <v>43398</v>
      </c>
      <c r="I41" s="20">
        <v>1576612.77</v>
      </c>
      <c r="J41" s="63" t="s">
        <v>42</v>
      </c>
      <c r="K41" s="65" t="s">
        <v>43</v>
      </c>
      <c r="L41" s="66" t="s">
        <v>61</v>
      </c>
      <c r="M41" s="67"/>
      <c r="N41" s="67"/>
      <c r="O41" s="66"/>
    </row>
    <row r="42" s="10" customFormat="1" ht="18" customHeight="1" spans="1:15">
      <c r="A42" s="35"/>
      <c r="B42" s="87">
        <f t="shared" si="4"/>
        <v>-1801495.22</v>
      </c>
      <c r="C42" s="41"/>
      <c r="D42" s="42"/>
      <c r="E42" s="43"/>
      <c r="F42" s="92">
        <f t="shared" si="5"/>
        <v>0</v>
      </c>
      <c r="G42" s="89">
        <v>-1801495.22</v>
      </c>
      <c r="H42" s="45"/>
      <c r="I42" s="87"/>
      <c r="J42" s="68"/>
      <c r="K42" s="69" t="s">
        <v>62</v>
      </c>
      <c r="L42" s="69" t="s">
        <v>63</v>
      </c>
      <c r="M42" s="67"/>
      <c r="N42" s="67"/>
      <c r="O42" s="66"/>
    </row>
    <row r="43" s="10" customFormat="1" ht="18" customHeight="1" spans="1:15">
      <c r="A43" s="35"/>
      <c r="B43" s="87">
        <f t="shared" si="4"/>
        <v>-1180000</v>
      </c>
      <c r="C43" s="41"/>
      <c r="D43" s="42"/>
      <c r="E43" s="43"/>
      <c r="F43" s="92">
        <f t="shared" si="5"/>
        <v>0</v>
      </c>
      <c r="G43" s="89">
        <v>-1180000</v>
      </c>
      <c r="H43" s="45">
        <v>43945</v>
      </c>
      <c r="I43" s="87"/>
      <c r="J43" s="68"/>
      <c r="K43" s="69" t="s">
        <v>62</v>
      </c>
      <c r="L43" s="66" t="s">
        <v>49</v>
      </c>
      <c r="M43" s="67"/>
      <c r="N43" s="67"/>
      <c r="O43" s="66"/>
    </row>
    <row r="44" s="10" customFormat="1" ht="18" customHeight="1" spans="1:15">
      <c r="A44" s="35"/>
      <c r="B44" s="87">
        <f t="shared" si="4"/>
        <v>-4337840</v>
      </c>
      <c r="C44" s="41"/>
      <c r="D44" s="42"/>
      <c r="E44" s="43"/>
      <c r="F44" s="92">
        <f t="shared" si="5"/>
        <v>0</v>
      </c>
      <c r="G44" s="89">
        <v>-4337840</v>
      </c>
      <c r="H44" s="45">
        <v>43946</v>
      </c>
      <c r="I44" s="87"/>
      <c r="J44" s="68"/>
      <c r="K44" s="69" t="s">
        <v>62</v>
      </c>
      <c r="L44" s="66" t="s">
        <v>49</v>
      </c>
      <c r="M44" s="67"/>
      <c r="N44" s="67"/>
      <c r="O44" s="66"/>
    </row>
    <row r="45" s="10" customFormat="1" ht="18" customHeight="1" spans="1:15">
      <c r="A45" s="35"/>
      <c r="B45" s="87">
        <f t="shared" si="4"/>
        <v>5517840</v>
      </c>
      <c r="C45" s="41"/>
      <c r="D45" s="42"/>
      <c r="E45" s="43"/>
      <c r="F45" s="92">
        <f t="shared" si="5"/>
        <v>0</v>
      </c>
      <c r="G45" s="89">
        <v>5517840</v>
      </c>
      <c r="H45" s="45">
        <v>43947</v>
      </c>
      <c r="I45" s="87"/>
      <c r="J45" s="68"/>
      <c r="K45" s="69" t="s">
        <v>62</v>
      </c>
      <c r="L45" s="69" t="s">
        <v>64</v>
      </c>
      <c r="M45" s="67"/>
      <c r="N45" s="67"/>
      <c r="O45" s="66"/>
    </row>
    <row r="46" s="10" customFormat="1" ht="18" customHeight="1" spans="1:15">
      <c r="A46" s="35">
        <v>43952</v>
      </c>
      <c r="B46" s="86">
        <f t="shared" si="4"/>
        <v>2201834.86</v>
      </c>
      <c r="C46" s="36"/>
      <c r="D46" s="37"/>
      <c r="E46" s="93">
        <v>0.09</v>
      </c>
      <c r="F46" s="91">
        <f t="shared" si="5"/>
        <v>198165.14</v>
      </c>
      <c r="G46" s="83">
        <v>2400000</v>
      </c>
      <c r="H46" s="94"/>
      <c r="I46" s="86"/>
      <c r="J46" s="67"/>
      <c r="K46" s="65" t="s">
        <v>65</v>
      </c>
      <c r="L46" s="65" t="s">
        <v>66</v>
      </c>
      <c r="M46" s="67" t="s">
        <v>67</v>
      </c>
      <c r="N46" s="67"/>
      <c r="O46" s="66" t="s">
        <v>68</v>
      </c>
    </row>
    <row r="47" s="10" customFormat="1" ht="18" customHeight="1" spans="1:15">
      <c r="A47" s="35"/>
      <c r="B47" s="87"/>
      <c r="C47" s="36"/>
      <c r="D47" s="37"/>
      <c r="E47" s="38"/>
      <c r="F47" s="91"/>
      <c r="G47" s="83"/>
      <c r="H47" s="94"/>
      <c r="I47" s="87"/>
      <c r="J47" s="68"/>
      <c r="K47" s="69"/>
      <c r="L47" s="69"/>
      <c r="M47" s="67"/>
      <c r="N47" s="67"/>
      <c r="O47" s="66"/>
    </row>
    <row r="48" s="10" customFormat="1" ht="18" customHeight="1" spans="1:15">
      <c r="A48" s="35"/>
      <c r="B48" s="87"/>
      <c r="C48" s="36"/>
      <c r="D48" s="37"/>
      <c r="E48" s="38"/>
      <c r="F48" s="91"/>
      <c r="G48" s="83"/>
      <c r="H48" s="94"/>
      <c r="I48" s="86"/>
      <c r="J48" s="67"/>
      <c r="K48" s="65"/>
      <c r="L48" s="65"/>
      <c r="M48" s="67"/>
      <c r="N48" s="67"/>
      <c r="O48" s="66"/>
    </row>
    <row r="49" s="10" customFormat="1" ht="18" customHeight="1" spans="1:15">
      <c r="A49" s="35"/>
      <c r="B49" s="87"/>
      <c r="C49" s="36"/>
      <c r="D49" s="37"/>
      <c r="E49" s="38"/>
      <c r="F49" s="91"/>
      <c r="G49" s="83"/>
      <c r="H49" s="94"/>
      <c r="I49" s="86"/>
      <c r="J49" s="67"/>
      <c r="K49" s="65"/>
      <c r="L49" s="65"/>
      <c r="M49" s="67"/>
      <c r="N49" s="67"/>
      <c r="O49" s="66"/>
    </row>
    <row r="50" s="10" customFormat="1" ht="18" customHeight="1" spans="1:15">
      <c r="A50" s="35"/>
      <c r="B50" s="86"/>
      <c r="C50" s="36"/>
      <c r="D50" s="37"/>
      <c r="E50" s="38"/>
      <c r="F50" s="91"/>
      <c r="G50" s="83"/>
      <c r="H50" s="94"/>
      <c r="I50" s="86"/>
      <c r="J50" s="67"/>
      <c r="K50" s="65"/>
      <c r="L50" s="65"/>
      <c r="M50" s="67"/>
      <c r="N50" s="67"/>
      <c r="O50" s="66"/>
    </row>
    <row r="51" s="10" customFormat="1" ht="18" customHeight="1" spans="1:15">
      <c r="A51" s="35"/>
      <c r="B51" s="87"/>
      <c r="C51" s="36"/>
      <c r="D51" s="37"/>
      <c r="E51" s="38"/>
      <c r="F51" s="91"/>
      <c r="G51" s="83"/>
      <c r="H51" s="94"/>
      <c r="I51" s="87"/>
      <c r="J51" s="68"/>
      <c r="K51" s="69"/>
      <c r="L51" s="65"/>
      <c r="M51" s="67"/>
      <c r="N51" s="67"/>
      <c r="O51" s="66"/>
    </row>
    <row r="52" s="10" customFormat="1" ht="18" customHeight="1" spans="1:15">
      <c r="A52" s="35"/>
      <c r="B52" s="87"/>
      <c r="C52" s="36"/>
      <c r="D52" s="37"/>
      <c r="E52" s="38"/>
      <c r="F52" s="91"/>
      <c r="G52" s="83"/>
      <c r="H52" s="94"/>
      <c r="I52" s="87"/>
      <c r="J52" s="68"/>
      <c r="K52" s="69"/>
      <c r="L52" s="65"/>
      <c r="M52" s="67"/>
      <c r="N52" s="67"/>
      <c r="O52" s="66"/>
    </row>
    <row r="53" s="10" customFormat="1" ht="18" customHeight="1" spans="1:15">
      <c r="A53" s="35"/>
      <c r="B53" s="20">
        <f>ROUND(G53/(1+E53),2)</f>
        <v>0</v>
      </c>
      <c r="C53" s="36"/>
      <c r="D53" s="37"/>
      <c r="E53" s="38"/>
      <c r="F53" s="91"/>
      <c r="G53" s="83">
        <f>I53</f>
        <v>0</v>
      </c>
      <c r="H53" s="94"/>
      <c r="I53" s="87"/>
      <c r="J53" s="68"/>
      <c r="K53" s="69"/>
      <c r="L53" s="65"/>
      <c r="M53" s="67"/>
      <c r="N53" s="67"/>
      <c r="O53" s="66"/>
    </row>
    <row r="54" s="10" customFormat="1" ht="18" customHeight="1" spans="1:15">
      <c r="A54" s="35"/>
      <c r="B54" s="86"/>
      <c r="C54" s="36"/>
      <c r="D54" s="37"/>
      <c r="E54" s="38"/>
      <c r="F54" s="91"/>
      <c r="G54" s="83"/>
      <c r="H54" s="94"/>
      <c r="I54" s="87"/>
      <c r="J54" s="68"/>
      <c r="K54" s="69"/>
      <c r="L54" s="66"/>
      <c r="M54" s="67"/>
      <c r="N54" s="67"/>
      <c r="O54" s="66"/>
    </row>
    <row r="55" s="10" customFormat="1" ht="18" customHeight="1" spans="1:15">
      <c r="A55" s="35"/>
      <c r="B55" s="86"/>
      <c r="C55" s="36"/>
      <c r="D55" s="37"/>
      <c r="E55" s="38"/>
      <c r="F55" s="91"/>
      <c r="G55" s="83"/>
      <c r="H55" s="94"/>
      <c r="I55" s="87"/>
      <c r="J55" s="68"/>
      <c r="K55" s="69"/>
      <c r="L55" s="66"/>
      <c r="M55" s="67"/>
      <c r="N55" s="67"/>
      <c r="O55" s="66"/>
    </row>
    <row r="56" s="10" customFormat="1" ht="18" customHeight="1" spans="1:15">
      <c r="A56" s="35"/>
      <c r="B56" s="86"/>
      <c r="C56" s="36"/>
      <c r="D56" s="37"/>
      <c r="E56" s="38"/>
      <c r="F56" s="91"/>
      <c r="G56" s="83"/>
      <c r="H56" s="94" t="s">
        <v>100</v>
      </c>
      <c r="I56" s="95">
        <v>56000</v>
      </c>
      <c r="J56" s="67" t="s">
        <v>90</v>
      </c>
      <c r="K56" s="65" t="s">
        <v>101</v>
      </c>
      <c r="L56" s="66"/>
      <c r="M56" s="67"/>
      <c r="N56" s="67"/>
      <c r="O56" s="66"/>
    </row>
    <row r="57" s="10" customFormat="1" ht="18" customHeight="1" spans="1:15">
      <c r="A57" s="35"/>
      <c r="B57" s="86"/>
      <c r="C57" s="36"/>
      <c r="D57" s="37"/>
      <c r="E57" s="38"/>
      <c r="F57" s="91"/>
      <c r="G57" s="83"/>
      <c r="H57" s="94" t="s">
        <v>100</v>
      </c>
      <c r="I57" s="95">
        <v>110620</v>
      </c>
      <c r="J57" s="67" t="s">
        <v>90</v>
      </c>
      <c r="K57" s="65" t="s">
        <v>105</v>
      </c>
      <c r="L57" s="66"/>
      <c r="M57" s="67"/>
      <c r="N57" s="67"/>
      <c r="O57" s="66"/>
    </row>
    <row r="58" s="10" customFormat="1" ht="18" customHeight="1" spans="1:15">
      <c r="A58" s="35"/>
      <c r="B58" s="86"/>
      <c r="C58" s="36"/>
      <c r="D58" s="37"/>
      <c r="E58" s="38"/>
      <c r="F58" s="91"/>
      <c r="G58" s="83"/>
      <c r="H58" s="94" t="s">
        <v>100</v>
      </c>
      <c r="I58" s="95">
        <v>123433.33</v>
      </c>
      <c r="J58" s="67" t="s">
        <v>90</v>
      </c>
      <c r="K58" s="65" t="s">
        <v>103</v>
      </c>
      <c r="L58" s="66"/>
      <c r="M58" s="67"/>
      <c r="N58" s="67"/>
      <c r="O58" s="66"/>
    </row>
    <row r="59" s="10" customFormat="1" ht="18" customHeight="1" spans="1:15">
      <c r="A59" s="35"/>
      <c r="B59" s="86"/>
      <c r="C59" s="36"/>
      <c r="D59" s="37"/>
      <c r="E59" s="38"/>
      <c r="F59" s="91"/>
      <c r="G59" s="83"/>
      <c r="H59" s="94" t="s">
        <v>100</v>
      </c>
      <c r="I59" s="95">
        <v>3000000</v>
      </c>
      <c r="J59" s="67" t="s">
        <v>90</v>
      </c>
      <c r="K59" s="65" t="s">
        <v>104</v>
      </c>
      <c r="L59" s="66"/>
      <c r="M59" s="67"/>
      <c r="N59" s="67"/>
      <c r="O59" s="66"/>
    </row>
    <row r="60" s="10" customFormat="1" ht="18" customHeight="1" spans="1:15">
      <c r="A60" s="35"/>
      <c r="B60" s="86"/>
      <c r="C60" s="36"/>
      <c r="D60" s="37"/>
      <c r="E60" s="38"/>
      <c r="F60" s="91"/>
      <c r="G60" s="83"/>
      <c r="H60" s="94" t="s">
        <v>100</v>
      </c>
      <c r="I60" s="95">
        <v>6000</v>
      </c>
      <c r="J60" s="67" t="s">
        <v>90</v>
      </c>
      <c r="K60" s="65" t="s">
        <v>101</v>
      </c>
      <c r="L60" s="66"/>
      <c r="M60" s="67"/>
      <c r="N60" s="67"/>
      <c r="O60" s="66"/>
    </row>
    <row r="61" s="10" customFormat="1" ht="18" customHeight="1" spans="1:15">
      <c r="A61" s="35"/>
      <c r="B61" s="86"/>
      <c r="C61" s="36"/>
      <c r="D61" s="37"/>
      <c r="E61" s="38"/>
      <c r="F61" s="91"/>
      <c r="G61" s="83"/>
      <c r="H61" s="94" t="s">
        <v>100</v>
      </c>
      <c r="I61" s="95">
        <v>78910</v>
      </c>
      <c r="J61" s="67" t="s">
        <v>90</v>
      </c>
      <c r="K61" s="65" t="s">
        <v>105</v>
      </c>
      <c r="L61" s="66"/>
      <c r="M61" s="67"/>
      <c r="N61" s="67"/>
      <c r="O61" s="66"/>
    </row>
    <row r="62" s="10" customFormat="1" ht="18" customHeight="1" spans="1:15">
      <c r="A62" s="35"/>
      <c r="B62" s="86"/>
      <c r="C62" s="36"/>
      <c r="D62" s="37"/>
      <c r="E62" s="38"/>
      <c r="F62" s="91"/>
      <c r="G62" s="83"/>
      <c r="H62" s="27" t="s">
        <v>106</v>
      </c>
      <c r="I62" s="95">
        <v>500</v>
      </c>
      <c r="J62" s="63" t="s">
        <v>90</v>
      </c>
      <c r="K62" s="65" t="s">
        <v>107</v>
      </c>
      <c r="L62" s="66"/>
      <c r="M62" s="67"/>
      <c r="N62" s="67"/>
      <c r="O62" s="66"/>
    </row>
    <row r="63" s="10" customFormat="1" ht="18" customHeight="1" spans="1:15">
      <c r="A63" s="35"/>
      <c r="B63" s="86"/>
      <c r="C63" s="36"/>
      <c r="D63" s="37"/>
      <c r="E63" s="38"/>
      <c r="F63" s="91"/>
      <c r="G63" s="83"/>
      <c r="H63" s="27" t="s">
        <v>106</v>
      </c>
      <c r="I63" s="95">
        <v>70924</v>
      </c>
      <c r="J63" s="63" t="s">
        <v>90</v>
      </c>
      <c r="K63" s="65" t="s">
        <v>105</v>
      </c>
      <c r="L63" s="66"/>
      <c r="M63" s="67"/>
      <c r="N63" s="67"/>
      <c r="O63" s="66"/>
    </row>
    <row r="64" s="10" customFormat="1" ht="18" customHeight="1" spans="1:15">
      <c r="A64" s="35"/>
      <c r="B64" s="86">
        <f>ROUND(G64/(1+E64),2)</f>
        <v>0</v>
      </c>
      <c r="C64" s="36"/>
      <c r="D64" s="37"/>
      <c r="E64" s="38"/>
      <c r="F64" s="86">
        <f>ROUND(G64/(1+E64)*E64,2)</f>
        <v>0</v>
      </c>
      <c r="G64" s="83"/>
      <c r="H64" s="27" t="s">
        <v>108</v>
      </c>
      <c r="I64" s="95">
        <v>175680</v>
      </c>
      <c r="J64" s="96" t="s">
        <v>109</v>
      </c>
      <c r="K64" s="97" t="s">
        <v>110</v>
      </c>
      <c r="L64" s="66"/>
      <c r="M64" s="67"/>
      <c r="N64" s="67"/>
      <c r="O64" s="66"/>
    </row>
    <row r="65" s="10" customFormat="1" ht="18" customHeight="1" spans="1:15">
      <c r="A65" s="35"/>
      <c r="B65" s="86">
        <f>ROUND(G65/(1+E65),2)</f>
        <v>301000</v>
      </c>
      <c r="C65" s="36"/>
      <c r="D65" s="37"/>
      <c r="E65" s="38"/>
      <c r="F65" s="86">
        <f>ROUND(G65/(1+E65)*E65,2)</f>
        <v>0</v>
      </c>
      <c r="G65" s="83">
        <f>121900+135625+43475</f>
        <v>301000</v>
      </c>
      <c r="H65" s="27"/>
      <c r="I65" s="95">
        <f>G65</f>
        <v>301000</v>
      </c>
      <c r="J65" s="63" t="s">
        <v>90</v>
      </c>
      <c r="K65" s="65" t="s">
        <v>96</v>
      </c>
      <c r="L65" s="66"/>
      <c r="M65" s="67"/>
      <c r="N65" s="67"/>
      <c r="O65" s="66"/>
    </row>
    <row r="66" ht="18" customHeight="1" spans="1:15">
      <c r="A66" s="32" t="s">
        <v>24</v>
      </c>
      <c r="B66" s="84">
        <f t="shared" ref="B66:G66" si="6">SUM(B16:B65)</f>
        <v>13415880</v>
      </c>
      <c r="C66" s="32"/>
      <c r="D66" s="53"/>
      <c r="E66" s="53"/>
      <c r="F66" s="85">
        <f t="shared" si="6"/>
        <v>1161124.78</v>
      </c>
      <c r="G66" s="98">
        <f t="shared" si="6"/>
        <v>14577004.78</v>
      </c>
      <c r="H66" s="55"/>
      <c r="I66" s="99">
        <f>SUM(I16:I65)</f>
        <v>13138000</v>
      </c>
      <c r="J66" s="75"/>
      <c r="K66" s="53"/>
      <c r="L66" s="34"/>
      <c r="M66" s="63"/>
      <c r="N66" s="63"/>
      <c r="O66" s="34"/>
    </row>
    <row r="67" ht="18" customHeight="1" spans="1:14">
      <c r="A67" s="56" t="s">
        <v>111</v>
      </c>
      <c r="B67" s="56">
        <f>B13*0.984</f>
        <v>13313372.2768974</v>
      </c>
      <c r="C67" s="56"/>
      <c r="D67" s="58"/>
      <c r="E67" s="58"/>
      <c r="F67" s="56">
        <f t="shared" ref="F67:I67" si="7">F13-F66</f>
        <v>-100571.652393661</v>
      </c>
      <c r="G67" s="56">
        <f t="shared" si="7"/>
        <v>283995.220000001</v>
      </c>
      <c r="H67" s="1" t="s">
        <v>112</v>
      </c>
      <c r="I67" s="32">
        <f t="shared" si="7"/>
        <v>2380000</v>
      </c>
      <c r="J67" s="15"/>
      <c r="K67" s="76"/>
      <c r="M67" s="77"/>
      <c r="N67" s="77"/>
    </row>
    <row r="68" ht="18" customHeight="1" spans="1:14">
      <c r="A68" s="56" t="s">
        <v>113</v>
      </c>
      <c r="B68" s="56">
        <f>B67-B66</f>
        <v>-102507.723102588</v>
      </c>
      <c r="C68" s="56"/>
      <c r="D68" s="57"/>
      <c r="E68" s="58"/>
      <c r="F68" s="57"/>
      <c r="G68" s="57"/>
      <c r="H68" s="59"/>
      <c r="I68" s="57"/>
      <c r="J68" s="15"/>
      <c r="K68" s="76"/>
      <c r="M68" s="77"/>
      <c r="N68" s="77"/>
    </row>
    <row r="69" ht="18" customHeight="1" spans="1:3">
      <c r="A69" s="11" t="s">
        <v>114</v>
      </c>
      <c r="C69" s="11"/>
    </row>
    <row r="70" ht="18" customHeight="1" spans="1:10">
      <c r="A70" s="1" t="s">
        <v>115</v>
      </c>
      <c r="B70" s="3" t="s">
        <v>116</v>
      </c>
      <c r="C70" s="34"/>
      <c r="D70" s="1" t="s">
        <v>115</v>
      </c>
      <c r="E70" s="2" t="s">
        <v>16</v>
      </c>
      <c r="F70" s="3" t="s">
        <v>116</v>
      </c>
      <c r="G70" s="3" t="s">
        <v>117</v>
      </c>
      <c r="H70" s="3" t="s">
        <v>118</v>
      </c>
      <c r="I70" s="3" t="s">
        <v>119</v>
      </c>
      <c r="J70" s="14" t="s">
        <v>120</v>
      </c>
    </row>
    <row r="71" ht="18" customHeight="1" spans="1:10">
      <c r="A71" s="34" t="s">
        <v>122</v>
      </c>
      <c r="B71" s="25">
        <f>(B67-B66)*0.25</f>
        <v>-25626.9307756471</v>
      </c>
      <c r="C71" s="34"/>
      <c r="D71" s="4" t="s">
        <v>123</v>
      </c>
      <c r="E71" s="1" t="s">
        <v>124</v>
      </c>
      <c r="F71" s="5">
        <f>F13-F66</f>
        <v>-100571.652393661</v>
      </c>
      <c r="G71" s="5">
        <v>0</v>
      </c>
      <c r="H71" s="5">
        <v>0</v>
      </c>
      <c r="I71" s="5">
        <v>0</v>
      </c>
      <c r="J71" s="78">
        <f>F7+F8+F9+F10+F11-SUM(F16:F37)</f>
        <v>97593.4876063386</v>
      </c>
    </row>
    <row r="72" ht="18" customHeight="1" spans="1:10">
      <c r="A72" s="34" t="s">
        <v>125</v>
      </c>
      <c r="B72" s="79" t="s">
        <v>126</v>
      </c>
      <c r="C72" s="34"/>
      <c r="D72" s="6" t="s">
        <v>127</v>
      </c>
      <c r="E72" s="7">
        <v>0.05</v>
      </c>
      <c r="F72" s="8">
        <f>F71*E72</f>
        <v>-5028.58261968307</v>
      </c>
      <c r="G72" s="8">
        <v>0</v>
      </c>
      <c r="H72" s="8">
        <v>0</v>
      </c>
      <c r="I72" s="8">
        <v>0</v>
      </c>
      <c r="J72" s="8">
        <f>J71*E72</f>
        <v>4879.67438031693</v>
      </c>
    </row>
    <row r="73" ht="18" customHeight="1" spans="1:10">
      <c r="A73" s="34" t="s">
        <v>128</v>
      </c>
      <c r="B73" s="79" t="s">
        <v>126</v>
      </c>
      <c r="C73" s="34"/>
      <c r="D73" s="6" t="s">
        <v>129</v>
      </c>
      <c r="E73" s="7">
        <v>0.03</v>
      </c>
      <c r="F73" s="8">
        <f>F71*E73</f>
        <v>-3017.14957180984</v>
      </c>
      <c r="G73" s="8">
        <v>0</v>
      </c>
      <c r="H73" s="8">
        <v>0</v>
      </c>
      <c r="I73" s="8">
        <v>0</v>
      </c>
      <c r="J73" s="8">
        <f>J71*E73</f>
        <v>2927.80462819016</v>
      </c>
    </row>
    <row r="74" ht="18" customHeight="1" spans="1:10">
      <c r="A74" s="34"/>
      <c r="B74" s="8"/>
      <c r="C74" s="34"/>
      <c r="D74" s="6" t="s">
        <v>130</v>
      </c>
      <c r="E74" s="7">
        <v>0.02</v>
      </c>
      <c r="F74" s="8">
        <f>F71*E74</f>
        <v>-2011.43304787323</v>
      </c>
      <c r="G74" s="8">
        <v>0</v>
      </c>
      <c r="H74" s="8">
        <v>0</v>
      </c>
      <c r="I74" s="8">
        <v>0</v>
      </c>
      <c r="J74" s="8">
        <f>J71*E74</f>
        <v>1951.86975212677</v>
      </c>
    </row>
    <row r="75" ht="18" customHeight="1" spans="1:10">
      <c r="A75" s="4" t="s">
        <v>131</v>
      </c>
      <c r="B75" s="31">
        <f>SUM(B71:B74)</f>
        <v>-25626.9307756471</v>
      </c>
      <c r="C75" s="34"/>
      <c r="D75" s="9" t="s">
        <v>131</v>
      </c>
      <c r="E75" s="4"/>
      <c r="F75" s="5">
        <f>SUM(F71:F74)</f>
        <v>-110628.817633028</v>
      </c>
      <c r="G75" s="5">
        <v>0</v>
      </c>
      <c r="H75" s="5">
        <v>0</v>
      </c>
      <c r="I75" s="5">
        <v>0</v>
      </c>
      <c r="J75" s="8">
        <f>SUM(J71:J74)</f>
        <v>107352.836366972</v>
      </c>
    </row>
    <row r="76" ht="18" customHeight="1" spans="3:9">
      <c r="C76" s="11"/>
      <c r="D76" s="2" t="s">
        <v>24</v>
      </c>
      <c r="E76" s="32"/>
      <c r="F76" s="33">
        <f>F75</f>
        <v>-110628.817633028</v>
      </c>
      <c r="G76" s="33">
        <v>0</v>
      </c>
      <c r="H76" s="33">
        <v>0</v>
      </c>
      <c r="I76" s="33">
        <v>0</v>
      </c>
    </row>
    <row r="77" ht="18" customHeight="1" spans="3:9">
      <c r="C77" s="11"/>
      <c r="D77" s="32" t="s">
        <v>122</v>
      </c>
      <c r="E77" s="53">
        <v>0.016</v>
      </c>
      <c r="F77" s="33">
        <f>B13*E77</f>
        <v>216477.597998332</v>
      </c>
      <c r="G77" s="33">
        <f>B7*E77</f>
        <v>70923.6363636364</v>
      </c>
      <c r="H77" s="33">
        <f>(B8+B9)*E77</f>
        <v>78909.0909090909</v>
      </c>
      <c r="I77" s="33">
        <f>B10*E77</f>
        <v>31709.0909090909</v>
      </c>
    </row>
    <row r="78" ht="18" customHeight="1" spans="3:10">
      <c r="C78" s="11"/>
      <c r="J78" s="80" t="s">
        <v>132</v>
      </c>
    </row>
    <row r="79" ht="18" customHeight="1" spans="3:10">
      <c r="C79" s="11"/>
      <c r="J79" s="80" t="s">
        <v>134</v>
      </c>
    </row>
    <row r="80" ht="18" customHeight="1" spans="3:3">
      <c r="C80" s="11"/>
    </row>
    <row r="81" spans="3:3">
      <c r="C81" s="11"/>
    </row>
    <row r="82" spans="3:3">
      <c r="C82" s="11"/>
    </row>
    <row r="83" spans="3:3">
      <c r="C83" s="11"/>
    </row>
    <row r="84" spans="3:3">
      <c r="C84" s="11"/>
    </row>
    <row r="85" spans="3:3">
      <c r="C85" s="11"/>
    </row>
    <row r="86" spans="3:3">
      <c r="C86" s="11"/>
    </row>
    <row r="87" spans="3:3">
      <c r="C87" s="11"/>
    </row>
    <row r="88" spans="3:3">
      <c r="C88" s="11"/>
    </row>
    <row r="89" spans="3:3">
      <c r="C89" s="11"/>
    </row>
    <row r="90" spans="3:3">
      <c r="C90" s="11"/>
    </row>
    <row r="91" spans="3:3">
      <c r="C91" s="11"/>
    </row>
    <row r="92" spans="3:3">
      <c r="C92" s="11"/>
    </row>
    <row r="93" spans="3:3">
      <c r="C93" s="11"/>
    </row>
    <row r="94" spans="3:3">
      <c r="C94" s="11"/>
    </row>
    <row r="95" spans="3:3">
      <c r="C95" s="11"/>
    </row>
    <row r="96" spans="3:3">
      <c r="C96" s="11"/>
    </row>
    <row r="109" spans="12:12">
      <c r="L109" s="15">
        <v>98018.82</v>
      </c>
    </row>
  </sheetData>
  <protectedRanges>
    <protectedRange sqref="I40" name="区域1"/>
  </protectedRanges>
  <autoFilter ref="A15:O79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111111111111" right="0.236111111111111" top="0.314583333333333" bottom="0.156944444444444" header="0.314583333333333" footer="0.314583333333333"/>
  <pageSetup paperSize="9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2"/>
  <sheetViews>
    <sheetView topLeftCell="A37" workbookViewId="0">
      <selection activeCell="K52" sqref="K52"/>
    </sheetView>
  </sheetViews>
  <sheetFormatPr defaultColWidth="9" defaultRowHeight="11.25"/>
  <cols>
    <col min="1" max="1" width="10.775" style="11" customWidth="1"/>
    <col min="2" max="2" width="13.1083333333333" style="12" customWidth="1"/>
    <col min="3" max="3" width="6" style="13" customWidth="1"/>
    <col min="4" max="4" width="13.3333333333333" style="13" customWidth="1"/>
    <col min="5" max="5" width="6" style="13" customWidth="1"/>
    <col min="6" max="6" width="13.1083333333333" style="12" customWidth="1"/>
    <col min="7" max="7" width="18.1083333333333" style="12" customWidth="1"/>
    <col min="8" max="8" width="24" style="13" customWidth="1"/>
    <col min="9" max="9" width="13.8833333333333" style="12" customWidth="1"/>
    <col min="10" max="10" width="12.1083333333333" style="14" customWidth="1"/>
    <col min="11" max="11" width="31.4416666666667" style="15" customWidth="1"/>
    <col min="12" max="12" width="12.775" style="15" customWidth="1"/>
    <col min="13" max="13" width="6" style="15" customWidth="1"/>
    <col min="14" max="14" width="5.66666666666667" style="15" customWidth="1"/>
    <col min="15" max="15" width="13" style="15" customWidth="1"/>
    <col min="16" max="16" width="9" style="15"/>
    <col min="17" max="17" width="18.8833333333333" style="15" customWidth="1"/>
    <col min="18" max="16384" width="9" style="15"/>
  </cols>
  <sheetData>
    <row r="1" ht="21.9" customHeight="1" spans="1:12">
      <c r="A1" s="16" t="s">
        <v>135</v>
      </c>
      <c r="B1" s="16"/>
      <c r="C1" s="16"/>
      <c r="D1" s="16"/>
      <c r="E1" s="16"/>
      <c r="F1" s="17"/>
      <c r="G1" s="17"/>
      <c r="H1" s="16"/>
      <c r="I1" s="17"/>
      <c r="J1" s="16"/>
      <c r="K1" s="26"/>
      <c r="L1" s="26"/>
    </row>
    <row r="2" ht="18" customHeight="1" spans="1:12">
      <c r="A2" s="18" t="s">
        <v>1</v>
      </c>
      <c r="B2" s="19">
        <v>43202</v>
      </c>
      <c r="C2" s="20" t="s">
        <v>2</v>
      </c>
      <c r="D2" s="21">
        <v>21965978.04</v>
      </c>
      <c r="E2" s="7" t="s">
        <v>3</v>
      </c>
      <c r="F2" s="22" t="s">
        <v>4</v>
      </c>
      <c r="G2" s="23" t="s">
        <v>5</v>
      </c>
      <c r="H2" s="24" t="s">
        <v>6</v>
      </c>
      <c r="I2" s="60"/>
      <c r="J2" s="61"/>
      <c r="K2" s="26"/>
      <c r="L2" s="26"/>
    </row>
    <row r="3" ht="18" customHeight="1" spans="1:12">
      <c r="A3" s="18" t="s">
        <v>7</v>
      </c>
      <c r="B3" s="25"/>
      <c r="C3" s="20" t="s">
        <v>8</v>
      </c>
      <c r="D3" s="20"/>
      <c r="H3" s="26"/>
      <c r="I3" s="62"/>
      <c r="J3" s="26"/>
      <c r="K3" s="26"/>
      <c r="L3" s="26"/>
    </row>
    <row r="4" ht="18" customHeight="1" spans="1:12">
      <c r="A4" s="11" t="s">
        <v>9</v>
      </c>
      <c r="H4" s="26"/>
      <c r="I4" s="62"/>
      <c r="J4" s="26"/>
      <c r="K4" s="26"/>
      <c r="L4" s="26"/>
    </row>
    <row r="5" ht="18" customHeight="1" spans="1:10">
      <c r="A5" s="2" t="s">
        <v>10</v>
      </c>
      <c r="B5" s="3" t="s">
        <v>11</v>
      </c>
      <c r="C5" s="2" t="s">
        <v>12</v>
      </c>
      <c r="D5" s="2"/>
      <c r="E5" s="2" t="s">
        <v>13</v>
      </c>
      <c r="F5" s="3"/>
      <c r="G5" s="3" t="s">
        <v>14</v>
      </c>
      <c r="H5" s="1" t="s">
        <v>15</v>
      </c>
      <c r="I5" s="3"/>
      <c r="J5" s="1"/>
    </row>
    <row r="6" ht="18" customHeight="1" spans="1:10">
      <c r="A6" s="2"/>
      <c r="B6" s="3"/>
      <c r="C6" s="2" t="s">
        <v>16</v>
      </c>
      <c r="D6" s="2" t="s">
        <v>17</v>
      </c>
      <c r="E6" s="2" t="s">
        <v>16</v>
      </c>
      <c r="F6" s="3" t="s">
        <v>17</v>
      </c>
      <c r="G6" s="3"/>
      <c r="H6" s="1" t="s">
        <v>18</v>
      </c>
      <c r="I6" s="3" t="s">
        <v>19</v>
      </c>
      <c r="J6" s="1" t="s">
        <v>20</v>
      </c>
    </row>
    <row r="7" ht="18" customHeight="1" spans="1:10">
      <c r="A7" s="27">
        <v>43385</v>
      </c>
      <c r="B7" s="8">
        <f>G7/(1+C7+E7)</f>
        <v>4432727.27272727</v>
      </c>
      <c r="C7" s="28">
        <v>0.02</v>
      </c>
      <c r="D7" s="29">
        <f>G7/(1+E7+C7)*C7</f>
        <v>88654.5454545455</v>
      </c>
      <c r="E7" s="28">
        <v>0.08</v>
      </c>
      <c r="F7" s="8">
        <f>G7/(1+C7+E7)*E7</f>
        <v>354618.181818182</v>
      </c>
      <c r="G7" s="30">
        <v>4876000</v>
      </c>
      <c r="H7" s="27">
        <v>43305</v>
      </c>
      <c r="I7" s="8">
        <v>1098000</v>
      </c>
      <c r="J7" s="63" t="s">
        <v>21</v>
      </c>
    </row>
    <row r="8" ht="18" customHeight="1" spans="1:10">
      <c r="A8" s="27">
        <v>43412</v>
      </c>
      <c r="B8" s="8">
        <f t="shared" ref="B8:B12" si="0">G8/(1+C8+E8)</f>
        <v>1796363.63636364</v>
      </c>
      <c r="C8" s="28">
        <v>0.02</v>
      </c>
      <c r="D8" s="29">
        <f t="shared" ref="D8:D12" si="1">G8/(1+E8+C8)*C8</f>
        <v>35927.2727272727</v>
      </c>
      <c r="E8" s="28">
        <v>0.08</v>
      </c>
      <c r="F8" s="8">
        <f>G8/(1+C8+E8)*E8</f>
        <v>143709.090909091</v>
      </c>
      <c r="G8" s="30">
        <v>1976000</v>
      </c>
      <c r="H8" s="27">
        <v>43396</v>
      </c>
      <c r="I8" s="8">
        <v>4876000</v>
      </c>
      <c r="J8" s="63" t="s">
        <v>21</v>
      </c>
    </row>
    <row r="9" ht="18" customHeight="1" spans="1:10">
      <c r="A9" s="27">
        <v>43412</v>
      </c>
      <c r="B9" s="8">
        <f t="shared" si="0"/>
        <v>3135454.54545455</v>
      </c>
      <c r="C9" s="28">
        <v>0.02</v>
      </c>
      <c r="D9" s="29">
        <f t="shared" si="1"/>
        <v>62709.0909090909</v>
      </c>
      <c r="E9" s="28">
        <v>0.08</v>
      </c>
      <c r="F9" s="8">
        <f t="shared" ref="F9:F12" si="2">G9/(1+C9+E9)*E9</f>
        <v>250836.363636364</v>
      </c>
      <c r="G9" s="30">
        <v>3449000</v>
      </c>
      <c r="H9" s="27">
        <v>43423</v>
      </c>
      <c r="I9" s="8">
        <v>5425000</v>
      </c>
      <c r="J9" s="63" t="s">
        <v>21</v>
      </c>
    </row>
    <row r="10" ht="18" customHeight="1" spans="1:15">
      <c r="A10" s="27">
        <v>43473</v>
      </c>
      <c r="B10" s="8">
        <f t="shared" si="0"/>
        <v>1981818.18181818</v>
      </c>
      <c r="C10" s="28">
        <v>0.02</v>
      </c>
      <c r="D10" s="29">
        <f t="shared" si="1"/>
        <v>39636.3636363636</v>
      </c>
      <c r="E10" s="28">
        <v>0.08</v>
      </c>
      <c r="F10" s="8">
        <f t="shared" si="2"/>
        <v>158545.454545455</v>
      </c>
      <c r="G10" s="30">
        <v>2180000</v>
      </c>
      <c r="H10" s="27">
        <v>43497</v>
      </c>
      <c r="I10" s="8">
        <v>1739000</v>
      </c>
      <c r="J10" s="63" t="s">
        <v>21</v>
      </c>
      <c r="O10" s="40">
        <f>ROUND(G17/(1+E17)*E17,2)</f>
        <v>0</v>
      </c>
    </row>
    <row r="11" ht="18" customHeight="1" spans="1:11">
      <c r="A11" s="27">
        <v>43780</v>
      </c>
      <c r="B11" s="8">
        <f t="shared" si="0"/>
        <v>2183486.23853211</v>
      </c>
      <c r="C11" s="28">
        <v>0.02</v>
      </c>
      <c r="D11" s="29">
        <f t="shared" si="1"/>
        <v>43669.7247706422</v>
      </c>
      <c r="E11" s="28">
        <v>0.07</v>
      </c>
      <c r="F11" s="8">
        <f t="shared" si="2"/>
        <v>152844.036697248</v>
      </c>
      <c r="G11" s="30">
        <v>2380000</v>
      </c>
      <c r="H11" s="27"/>
      <c r="I11" s="8"/>
      <c r="J11" s="63"/>
      <c r="K11" s="12">
        <f>I13-G13</f>
        <v>-1723000</v>
      </c>
    </row>
    <row r="12" ht="18" customHeight="1" spans="1:10">
      <c r="A12" s="27"/>
      <c r="B12" s="8">
        <f t="shared" si="0"/>
        <v>0</v>
      </c>
      <c r="C12" s="28">
        <v>0.02</v>
      </c>
      <c r="D12" s="29">
        <f t="shared" si="1"/>
        <v>0</v>
      </c>
      <c r="E12" s="28">
        <v>0.07</v>
      </c>
      <c r="F12" s="8">
        <f t="shared" si="2"/>
        <v>0</v>
      </c>
      <c r="G12" s="30"/>
      <c r="H12" s="27"/>
      <c r="I12" s="8"/>
      <c r="J12" s="63"/>
    </row>
    <row r="13" ht="18" customHeight="1" spans="1:10">
      <c r="A13" s="4" t="s">
        <v>24</v>
      </c>
      <c r="B13" s="31">
        <f>SUM(B7:B12)</f>
        <v>13529849.8748957</v>
      </c>
      <c r="C13" s="32"/>
      <c r="D13" s="33">
        <f t="shared" ref="D13:G13" si="3">SUM(D7:D12)</f>
        <v>270596.997497915</v>
      </c>
      <c r="E13" s="32"/>
      <c r="F13" s="5">
        <f t="shared" si="3"/>
        <v>1060553.12760634</v>
      </c>
      <c r="G13" s="33">
        <f t="shared" si="3"/>
        <v>14861000</v>
      </c>
      <c r="H13" s="34"/>
      <c r="I13" s="33">
        <f>SUM(I7:I12)</f>
        <v>13138000</v>
      </c>
      <c r="J13" s="34"/>
    </row>
    <row r="14" ht="18" customHeight="1" spans="1:12">
      <c r="A14" s="11" t="s">
        <v>25</v>
      </c>
      <c r="J14" s="13"/>
      <c r="K14" s="13"/>
      <c r="L14" s="14"/>
    </row>
    <row r="15" ht="18" customHeight="1" spans="1:15">
      <c r="A15" s="9" t="s">
        <v>26</v>
      </c>
      <c r="B15" s="3" t="s">
        <v>27</v>
      </c>
      <c r="C15" s="2" t="s">
        <v>28</v>
      </c>
      <c r="D15" s="2" t="s">
        <v>29</v>
      </c>
      <c r="E15" s="2" t="s">
        <v>16</v>
      </c>
      <c r="F15" s="3" t="s">
        <v>30</v>
      </c>
      <c r="G15" s="3" t="s">
        <v>14</v>
      </c>
      <c r="H15" s="2" t="s">
        <v>31</v>
      </c>
      <c r="I15" s="3" t="s">
        <v>32</v>
      </c>
      <c r="J15" s="2" t="s">
        <v>20</v>
      </c>
      <c r="K15" s="64" t="s">
        <v>33</v>
      </c>
      <c r="L15" s="1" t="s">
        <v>34</v>
      </c>
      <c r="M15" s="1" t="s">
        <v>35</v>
      </c>
      <c r="N15" s="1" t="s">
        <v>36</v>
      </c>
      <c r="O15" s="1" t="s">
        <v>37</v>
      </c>
    </row>
    <row r="16" s="10" customFormat="1" ht="18" customHeight="1" spans="1:15">
      <c r="A16" s="35">
        <v>43238</v>
      </c>
      <c r="B16" s="25">
        <f>ROUND(G16/(1+E16),2)</f>
        <v>137264.15</v>
      </c>
      <c r="C16" s="36"/>
      <c r="D16" s="37"/>
      <c r="E16" s="38">
        <v>0.06</v>
      </c>
      <c r="F16" s="25">
        <f>ROUND(G16/(1+E16)*E16,2)</f>
        <v>8235.85</v>
      </c>
      <c r="G16" s="30">
        <v>145500</v>
      </c>
      <c r="H16" s="27"/>
      <c r="I16" s="8"/>
      <c r="J16" s="63"/>
      <c r="K16" s="65" t="s">
        <v>38</v>
      </c>
      <c r="L16" s="66"/>
      <c r="M16" s="67"/>
      <c r="N16" s="67"/>
      <c r="O16" s="66"/>
    </row>
    <row r="17" s="10" customFormat="1" ht="18" customHeight="1" spans="1:15">
      <c r="A17" s="39"/>
      <c r="B17" s="40"/>
      <c r="C17" s="41"/>
      <c r="D17" s="42"/>
      <c r="E17" s="43"/>
      <c r="G17" s="44"/>
      <c r="H17" s="45" t="s">
        <v>39</v>
      </c>
      <c r="I17" s="40">
        <v>76612.77</v>
      </c>
      <c r="J17" s="68" t="s">
        <v>21</v>
      </c>
      <c r="K17" s="69" t="s">
        <v>40</v>
      </c>
      <c r="L17" s="66"/>
      <c r="M17" s="67"/>
      <c r="N17" s="67"/>
      <c r="O17" s="66" t="s">
        <v>41</v>
      </c>
    </row>
    <row r="18" s="10" customFormat="1" ht="18" customHeight="1" spans="1:15">
      <c r="A18" s="35"/>
      <c r="B18" s="25">
        <f t="shared" ref="B18:B47" si="4">ROUND(G18/(1+E18),2)</f>
        <v>0</v>
      </c>
      <c r="C18" s="36"/>
      <c r="D18" s="37"/>
      <c r="E18" s="38"/>
      <c r="F18" s="25">
        <f t="shared" ref="F18:F47" si="5">ROUND(G18/(1+E18)*E18,2)</f>
        <v>0</v>
      </c>
      <c r="G18" s="30"/>
      <c r="H18" s="27" t="s">
        <v>39</v>
      </c>
      <c r="I18" s="8">
        <v>-76612.77</v>
      </c>
      <c r="J18" s="63" t="s">
        <v>42</v>
      </c>
      <c r="K18" s="65" t="s">
        <v>43</v>
      </c>
      <c r="L18" s="66"/>
      <c r="M18" s="67"/>
      <c r="N18" s="67"/>
      <c r="O18" s="66"/>
    </row>
    <row r="19" s="10" customFormat="1" ht="18" customHeight="1" spans="1:15">
      <c r="A19" s="35">
        <v>43299</v>
      </c>
      <c r="B19" s="25">
        <f t="shared" si="4"/>
        <v>689655.17</v>
      </c>
      <c r="C19" s="36"/>
      <c r="D19" s="37"/>
      <c r="E19" s="38">
        <v>0.16</v>
      </c>
      <c r="F19" s="25">
        <f t="shared" si="5"/>
        <v>110344.83</v>
      </c>
      <c r="G19" s="30">
        <v>800000</v>
      </c>
      <c r="H19" s="27" t="s">
        <v>44</v>
      </c>
      <c r="I19" s="8">
        <v>800000</v>
      </c>
      <c r="J19" s="63" t="s">
        <v>21</v>
      </c>
      <c r="K19" s="65" t="s">
        <v>45</v>
      </c>
      <c r="L19" s="66" t="s">
        <v>46</v>
      </c>
      <c r="M19" s="67"/>
      <c r="N19" s="67"/>
      <c r="O19" s="66"/>
    </row>
    <row r="20" s="10" customFormat="1" ht="18" customHeight="1" spans="1:15">
      <c r="A20" s="35">
        <v>43396</v>
      </c>
      <c r="B20" s="25">
        <f t="shared" ref="B20" si="6">ROUND(G20/(1+E20),2)</f>
        <v>2099184.47</v>
      </c>
      <c r="C20" s="36"/>
      <c r="D20" s="37" t="s">
        <v>47</v>
      </c>
      <c r="E20" s="38">
        <v>0.03</v>
      </c>
      <c r="F20" s="25">
        <f t="shared" ref="F20" si="7">ROUND(G20/(1+E20)*E20,2)</f>
        <v>62975.53</v>
      </c>
      <c r="G20" s="30">
        <f>21*102960</f>
        <v>2162160</v>
      </c>
      <c r="H20" s="27" t="s">
        <v>44</v>
      </c>
      <c r="I20" s="8">
        <v>122320</v>
      </c>
      <c r="J20" s="63" t="s">
        <v>21</v>
      </c>
      <c r="K20" s="65" t="s">
        <v>48</v>
      </c>
      <c r="L20" s="66" t="s">
        <v>49</v>
      </c>
      <c r="M20" s="67"/>
      <c r="N20" s="67"/>
      <c r="O20" s="66"/>
    </row>
    <row r="21" s="10" customFormat="1" ht="18" customHeight="1" spans="1:15">
      <c r="A21" s="35"/>
      <c r="B21" s="25">
        <f t="shared" si="4"/>
        <v>0</v>
      </c>
      <c r="C21" s="36"/>
      <c r="D21" s="37"/>
      <c r="E21" s="38"/>
      <c r="F21" s="25">
        <f t="shared" si="5"/>
        <v>0</v>
      </c>
      <c r="G21" s="30"/>
      <c r="H21" s="27" t="s">
        <v>50</v>
      </c>
      <c r="I21" s="8">
        <v>-1500000</v>
      </c>
      <c r="J21" s="63" t="s">
        <v>42</v>
      </c>
      <c r="K21" s="65" t="s">
        <v>43</v>
      </c>
      <c r="L21" s="66"/>
      <c r="M21" s="67"/>
      <c r="N21" s="67"/>
      <c r="O21" s="66"/>
    </row>
    <row r="22" s="10" customFormat="1" ht="18" customHeight="1" spans="1:15">
      <c r="A22" s="35">
        <v>43374</v>
      </c>
      <c r="B22" s="25">
        <f t="shared" ref="B22" si="8">ROUND(G22/(1+E22),2)</f>
        <v>1293103.45</v>
      </c>
      <c r="C22" s="36"/>
      <c r="D22" s="37" t="s">
        <v>47</v>
      </c>
      <c r="E22" s="38">
        <v>0.16</v>
      </c>
      <c r="F22" s="25">
        <f t="shared" ref="F22" si="9">ROUND(G22/(1+E22)*E22,2)</f>
        <v>206896.55</v>
      </c>
      <c r="G22" s="30">
        <f>545501.2+954498.8</f>
        <v>1500000</v>
      </c>
      <c r="H22" s="27" t="s">
        <v>50</v>
      </c>
      <c r="I22" s="8">
        <v>1500000</v>
      </c>
      <c r="J22" s="63" t="s">
        <v>21</v>
      </c>
      <c r="K22" s="65" t="s">
        <v>51</v>
      </c>
      <c r="L22" s="66" t="s">
        <v>46</v>
      </c>
      <c r="M22" s="67"/>
      <c r="N22" s="67"/>
      <c r="O22" s="66"/>
    </row>
    <row r="23" s="10" customFormat="1" ht="18" customHeight="1" spans="1:15">
      <c r="A23" s="35"/>
      <c r="B23" s="25">
        <f t="shared" si="4"/>
        <v>0</v>
      </c>
      <c r="C23" s="36"/>
      <c r="D23" s="37"/>
      <c r="E23" s="38"/>
      <c r="F23" s="25">
        <f t="shared" si="5"/>
        <v>0</v>
      </c>
      <c r="G23" s="30"/>
      <c r="H23" s="27" t="s">
        <v>50</v>
      </c>
      <c r="I23" s="8">
        <v>2000000</v>
      </c>
      <c r="J23" s="63" t="s">
        <v>21</v>
      </c>
      <c r="K23" s="65" t="s">
        <v>48</v>
      </c>
      <c r="L23" s="66" t="s">
        <v>52</v>
      </c>
      <c r="M23" s="67"/>
      <c r="N23" s="67"/>
      <c r="O23" s="66"/>
    </row>
    <row r="24" s="10" customFormat="1" ht="18" customHeight="1" spans="1:15">
      <c r="A24" s="35"/>
      <c r="B24" s="25">
        <f t="shared" si="4"/>
        <v>0</v>
      </c>
      <c r="C24" s="36"/>
      <c r="D24" s="37"/>
      <c r="E24" s="38"/>
      <c r="F24" s="25">
        <f t="shared" si="5"/>
        <v>0</v>
      </c>
      <c r="G24" s="30"/>
      <c r="H24" s="27" t="s">
        <v>50</v>
      </c>
      <c r="I24" s="8">
        <v>-2000000</v>
      </c>
      <c r="J24" s="63" t="s">
        <v>21</v>
      </c>
      <c r="K24" s="65" t="s">
        <v>53</v>
      </c>
      <c r="L24" s="66" t="s">
        <v>54</v>
      </c>
      <c r="M24" s="67"/>
      <c r="N24" s="67"/>
      <c r="O24" s="66"/>
    </row>
    <row r="25" s="10" customFormat="1" ht="18" customHeight="1" spans="1:15">
      <c r="A25" s="35">
        <v>43374</v>
      </c>
      <c r="B25" s="25">
        <f t="shared" si="4"/>
        <v>368000</v>
      </c>
      <c r="C25" s="36"/>
      <c r="D25" s="37" t="s">
        <v>55</v>
      </c>
      <c r="E25" s="38"/>
      <c r="F25" s="25">
        <f t="shared" si="5"/>
        <v>0</v>
      </c>
      <c r="G25" s="30">
        <v>368000</v>
      </c>
      <c r="H25" s="27"/>
      <c r="I25" s="8"/>
      <c r="J25" s="63"/>
      <c r="K25" s="65" t="s">
        <v>56</v>
      </c>
      <c r="L25" s="66" t="s">
        <v>57</v>
      </c>
      <c r="M25" s="67"/>
      <c r="N25" s="67"/>
      <c r="O25" s="66"/>
    </row>
    <row r="26" s="10" customFormat="1" ht="18" customHeight="1" spans="1:15">
      <c r="A26" s="35"/>
      <c r="B26" s="25">
        <f t="shared" si="4"/>
        <v>0</v>
      </c>
      <c r="C26" s="36"/>
      <c r="D26" s="37"/>
      <c r="E26" s="38"/>
      <c r="F26" s="25">
        <f t="shared" si="5"/>
        <v>0</v>
      </c>
      <c r="G26" s="30"/>
      <c r="H26" s="27">
        <v>43390</v>
      </c>
      <c r="I26" s="8">
        <v>1000000</v>
      </c>
      <c r="J26" s="63" t="s">
        <v>21</v>
      </c>
      <c r="K26" s="65" t="s">
        <v>48</v>
      </c>
      <c r="L26" s="66" t="s">
        <v>52</v>
      </c>
      <c r="M26" s="67"/>
      <c r="N26" s="67"/>
      <c r="O26" s="66"/>
    </row>
    <row r="27" s="10" customFormat="1" ht="18" customHeight="1" spans="1:15">
      <c r="A27" s="35"/>
      <c r="B27" s="25">
        <f t="shared" si="4"/>
        <v>0</v>
      </c>
      <c r="C27" s="36"/>
      <c r="D27" s="37"/>
      <c r="E27" s="38"/>
      <c r="F27" s="25">
        <f t="shared" si="5"/>
        <v>0</v>
      </c>
      <c r="G27" s="30"/>
      <c r="H27" s="27">
        <v>43390</v>
      </c>
      <c r="I27" s="8">
        <v>-1000000</v>
      </c>
      <c r="J27" s="63" t="s">
        <v>21</v>
      </c>
      <c r="K27" s="65" t="s">
        <v>53</v>
      </c>
      <c r="L27" s="66" t="s">
        <v>54</v>
      </c>
      <c r="M27" s="67"/>
      <c r="N27" s="67"/>
      <c r="O27" s="66"/>
    </row>
    <row r="28" s="10" customFormat="1" ht="18" customHeight="1" spans="1:15">
      <c r="A28" s="35"/>
      <c r="B28" s="25">
        <f t="shared" si="4"/>
        <v>0</v>
      </c>
      <c r="C28" s="36"/>
      <c r="D28" s="37"/>
      <c r="E28" s="38"/>
      <c r="F28" s="25">
        <f t="shared" si="5"/>
        <v>0</v>
      </c>
      <c r="G28" s="30"/>
      <c r="H28" s="27">
        <v>43397</v>
      </c>
      <c r="I28" s="8">
        <v>1000000</v>
      </c>
      <c r="J28" s="63" t="s">
        <v>21</v>
      </c>
      <c r="K28" s="65" t="s">
        <v>51</v>
      </c>
      <c r="L28" s="66" t="s">
        <v>46</v>
      </c>
      <c r="M28" s="67"/>
      <c r="N28" s="67"/>
      <c r="O28" s="66"/>
    </row>
    <row r="29" s="10" customFormat="1" ht="18" customHeight="1" spans="1:15">
      <c r="A29" s="35"/>
      <c r="B29" s="25">
        <f t="shared" si="4"/>
        <v>0</v>
      </c>
      <c r="C29" s="36"/>
      <c r="D29" s="37"/>
      <c r="E29" s="38"/>
      <c r="F29" s="25">
        <f t="shared" si="5"/>
        <v>0</v>
      </c>
      <c r="G29" s="30"/>
      <c r="H29" s="27">
        <v>43398</v>
      </c>
      <c r="I29" s="8">
        <v>368000</v>
      </c>
      <c r="J29" s="63" t="s">
        <v>42</v>
      </c>
      <c r="K29" s="65" t="s">
        <v>43</v>
      </c>
      <c r="L29" s="66"/>
      <c r="M29" s="67"/>
      <c r="N29" s="67"/>
      <c r="O29" s="66"/>
    </row>
    <row r="30" s="10" customFormat="1" ht="18" customHeight="1" spans="1:15">
      <c r="A30" s="35">
        <v>43405</v>
      </c>
      <c r="B30" s="25">
        <f t="shared" si="4"/>
        <v>4211495.15</v>
      </c>
      <c r="C30" s="36"/>
      <c r="D30" s="37" t="s">
        <v>47</v>
      </c>
      <c r="E30" s="38">
        <v>0.03</v>
      </c>
      <c r="F30" s="25">
        <f t="shared" si="5"/>
        <v>126344.85</v>
      </c>
      <c r="G30" s="30">
        <v>4337840</v>
      </c>
      <c r="H30" s="27">
        <v>43398</v>
      </c>
      <c r="I30" s="8">
        <v>1738063.23</v>
      </c>
      <c r="J30" s="63" t="s">
        <v>21</v>
      </c>
      <c r="K30" s="65" t="s">
        <v>48</v>
      </c>
      <c r="L30" s="66"/>
      <c r="M30" s="67"/>
      <c r="N30" s="67"/>
      <c r="O30" s="66"/>
    </row>
    <row r="31" s="10" customFormat="1" ht="18" customHeight="1" spans="1:15">
      <c r="A31" s="35"/>
      <c r="B31" s="25">
        <f t="shared" si="4"/>
        <v>0</v>
      </c>
      <c r="C31" s="36"/>
      <c r="D31" s="37"/>
      <c r="E31" s="38"/>
      <c r="F31" s="25">
        <f t="shared" si="5"/>
        <v>0</v>
      </c>
      <c r="G31" s="30"/>
      <c r="H31" s="27">
        <v>43413</v>
      </c>
      <c r="I31" s="8">
        <v>500000</v>
      </c>
      <c r="J31" s="63" t="s">
        <v>21</v>
      </c>
      <c r="K31" s="65" t="s">
        <v>51</v>
      </c>
      <c r="L31" s="66" t="s">
        <v>46</v>
      </c>
      <c r="M31" s="67"/>
      <c r="N31" s="67"/>
      <c r="O31" s="66"/>
    </row>
    <row r="32" s="10" customFormat="1" ht="18" customHeight="1" spans="1:15">
      <c r="A32" s="35"/>
      <c r="B32" s="25">
        <f t="shared" si="4"/>
        <v>0</v>
      </c>
      <c r="C32" s="36"/>
      <c r="D32" s="37"/>
      <c r="E32" s="38"/>
      <c r="F32" s="25">
        <f t="shared" si="5"/>
        <v>0</v>
      </c>
      <c r="G32" s="30"/>
      <c r="H32" s="27">
        <v>43412</v>
      </c>
      <c r="I32" s="8">
        <v>-500000</v>
      </c>
      <c r="J32" s="63" t="s">
        <v>42</v>
      </c>
      <c r="K32" s="65" t="s">
        <v>43</v>
      </c>
      <c r="L32" s="66"/>
      <c r="M32" s="67"/>
      <c r="N32" s="67"/>
      <c r="O32" s="66"/>
    </row>
    <row r="33" ht="18" customHeight="1" spans="1:15">
      <c r="A33" s="46">
        <v>43405</v>
      </c>
      <c r="B33" s="8">
        <f t="shared" si="4"/>
        <v>1724137.93</v>
      </c>
      <c r="C33" s="47"/>
      <c r="D33" s="48" t="s">
        <v>47</v>
      </c>
      <c r="E33" s="49">
        <v>0.16</v>
      </c>
      <c r="F33" s="8">
        <f t="shared" si="5"/>
        <v>275862.07</v>
      </c>
      <c r="G33" s="50">
        <f>1000000+500000*2</f>
        <v>2000000</v>
      </c>
      <c r="H33" s="27">
        <v>43424</v>
      </c>
      <c r="I33" s="8">
        <v>500000</v>
      </c>
      <c r="J33" s="63" t="s">
        <v>21</v>
      </c>
      <c r="K33" s="70" t="s">
        <v>51</v>
      </c>
      <c r="L33" s="34" t="s">
        <v>46</v>
      </c>
      <c r="M33" s="63"/>
      <c r="N33" s="63"/>
      <c r="O33" s="34"/>
    </row>
    <row r="34" s="10" customFormat="1" ht="18" customHeight="1" spans="1:15">
      <c r="A34" s="35"/>
      <c r="B34" s="25">
        <f t="shared" si="4"/>
        <v>0</v>
      </c>
      <c r="C34" s="36"/>
      <c r="D34" s="37"/>
      <c r="E34" s="38"/>
      <c r="F34" s="25">
        <f t="shared" si="5"/>
        <v>0</v>
      </c>
      <c r="G34" s="30"/>
      <c r="H34" s="27">
        <v>43426</v>
      </c>
      <c r="I34" s="8">
        <v>1639616.77</v>
      </c>
      <c r="J34" s="63" t="s">
        <v>21</v>
      </c>
      <c r="K34" s="65" t="s">
        <v>48</v>
      </c>
      <c r="L34" s="66" t="s">
        <v>49</v>
      </c>
      <c r="M34" s="67"/>
      <c r="N34" s="67"/>
      <c r="O34" s="66"/>
    </row>
    <row r="35" s="10" customFormat="1" ht="18" customHeight="1" spans="1:15">
      <c r="A35" s="35">
        <v>43435</v>
      </c>
      <c r="B35" s="25">
        <f t="shared" si="4"/>
        <v>184000</v>
      </c>
      <c r="C35" s="36"/>
      <c r="D35" s="37" t="s">
        <v>58</v>
      </c>
      <c r="E35" s="38"/>
      <c r="F35" s="25">
        <f t="shared" si="5"/>
        <v>0</v>
      </c>
      <c r="G35" s="30">
        <f>92000*2</f>
        <v>184000</v>
      </c>
      <c r="H35" s="27"/>
      <c r="I35" s="8"/>
      <c r="J35" s="63"/>
      <c r="K35" s="65" t="s">
        <v>59</v>
      </c>
      <c r="L35" s="66" t="s">
        <v>60</v>
      </c>
      <c r="M35" s="67"/>
      <c r="N35" s="67"/>
      <c r="O35" s="66"/>
    </row>
    <row r="36" s="10" customFormat="1" ht="18" customHeight="1" spans="1:15">
      <c r="A36" s="35">
        <v>43466</v>
      </c>
      <c r="B36" s="25">
        <f t="shared" si="4"/>
        <v>1145631.07</v>
      </c>
      <c r="C36" s="36"/>
      <c r="D36" s="37"/>
      <c r="E36" s="38">
        <v>0.03</v>
      </c>
      <c r="F36" s="25">
        <f t="shared" si="5"/>
        <v>34368.93</v>
      </c>
      <c r="G36" s="30">
        <f>47440+102960*11</f>
        <v>1180000</v>
      </c>
      <c r="H36" s="27">
        <v>43498</v>
      </c>
      <c r="I36" s="8">
        <v>1180000</v>
      </c>
      <c r="J36" s="63" t="s">
        <v>21</v>
      </c>
      <c r="K36" s="65" t="s">
        <v>48</v>
      </c>
      <c r="L36" s="66" t="s">
        <v>49</v>
      </c>
      <c r="M36" s="67"/>
      <c r="N36" s="67"/>
      <c r="O36" s="66"/>
    </row>
    <row r="37" s="10" customFormat="1" ht="18" customHeight="1" spans="1:15">
      <c r="A37" s="35">
        <v>43466</v>
      </c>
      <c r="B37" s="25">
        <f t="shared" si="4"/>
        <v>862068.97</v>
      </c>
      <c r="C37" s="36"/>
      <c r="D37" s="37"/>
      <c r="E37" s="38">
        <v>0.16</v>
      </c>
      <c r="F37" s="25">
        <f t="shared" si="5"/>
        <v>137931.03</v>
      </c>
      <c r="G37" s="30">
        <v>1000000</v>
      </c>
      <c r="H37" s="27"/>
      <c r="I37" s="8"/>
      <c r="J37" s="63"/>
      <c r="K37" s="65" t="s">
        <v>51</v>
      </c>
      <c r="L37" s="66" t="s">
        <v>46</v>
      </c>
      <c r="M37" s="67"/>
      <c r="N37" s="67"/>
      <c r="O37" s="66"/>
    </row>
    <row r="38" s="10" customFormat="1" ht="18" customHeight="1" spans="1:15">
      <c r="A38" s="35"/>
      <c r="B38" s="25">
        <f t="shared" si="4"/>
        <v>0</v>
      </c>
      <c r="C38" s="36"/>
      <c r="D38" s="37"/>
      <c r="E38" s="38"/>
      <c r="F38" s="25">
        <f t="shared" si="5"/>
        <v>0</v>
      </c>
      <c r="G38" s="30"/>
      <c r="H38" s="27">
        <v>43488</v>
      </c>
      <c r="I38" s="8">
        <v>1000000</v>
      </c>
      <c r="J38" s="63" t="s">
        <v>21</v>
      </c>
      <c r="K38" s="65" t="s">
        <v>51</v>
      </c>
      <c r="L38" s="66" t="s">
        <v>46</v>
      </c>
      <c r="M38" s="67"/>
      <c r="N38" s="67"/>
      <c r="O38" s="66"/>
    </row>
    <row r="39" s="10" customFormat="1" ht="18" customHeight="1" spans="1:15">
      <c r="A39" s="35"/>
      <c r="B39" s="25">
        <f t="shared" si="4"/>
        <v>0</v>
      </c>
      <c r="C39" s="36"/>
      <c r="D39" s="37"/>
      <c r="E39" s="38"/>
      <c r="F39" s="51">
        <f t="shared" si="5"/>
        <v>0</v>
      </c>
      <c r="G39" s="30"/>
      <c r="H39" s="27">
        <v>43488</v>
      </c>
      <c r="I39" s="8">
        <v>-1000000</v>
      </c>
      <c r="J39" s="63" t="s">
        <v>42</v>
      </c>
      <c r="K39" s="65" t="s">
        <v>43</v>
      </c>
      <c r="L39" s="66"/>
      <c r="M39" s="67"/>
      <c r="N39" s="67"/>
      <c r="O39" s="66"/>
    </row>
    <row r="40" s="10" customFormat="1" ht="18" customHeight="1" spans="1:15">
      <c r="A40" s="35"/>
      <c r="B40" s="25">
        <f t="shared" si="4"/>
        <v>0</v>
      </c>
      <c r="C40" s="36"/>
      <c r="D40" s="37"/>
      <c r="E40" s="38"/>
      <c r="F40" s="51">
        <f t="shared" si="5"/>
        <v>0</v>
      </c>
      <c r="G40" s="30"/>
      <c r="H40" s="27">
        <v>43499</v>
      </c>
      <c r="I40" s="71">
        <v>290319.9</v>
      </c>
      <c r="J40" s="63" t="s">
        <v>42</v>
      </c>
      <c r="K40" s="65" t="s">
        <v>43</v>
      </c>
      <c r="L40" s="66"/>
      <c r="M40" s="67"/>
      <c r="N40" s="67"/>
      <c r="O40" s="66"/>
    </row>
    <row r="41" s="10" customFormat="1" ht="18" customHeight="1" spans="1:15">
      <c r="A41" s="35"/>
      <c r="B41" s="25">
        <f t="shared" si="4"/>
        <v>0</v>
      </c>
      <c r="C41" s="36"/>
      <c r="D41" s="37"/>
      <c r="E41" s="38"/>
      <c r="F41" s="51">
        <f t="shared" si="5"/>
        <v>0</v>
      </c>
      <c r="G41" s="30"/>
      <c r="H41" s="27">
        <v>43398</v>
      </c>
      <c r="I41" s="8">
        <v>1576612.77</v>
      </c>
      <c r="J41" s="63" t="s">
        <v>42</v>
      </c>
      <c r="K41" s="65" t="s">
        <v>43</v>
      </c>
      <c r="L41" s="66" t="s">
        <v>61</v>
      </c>
      <c r="M41" s="67"/>
      <c r="N41" s="67"/>
      <c r="O41" s="66"/>
    </row>
    <row r="42" s="10" customFormat="1" ht="18" customHeight="1" spans="1:15">
      <c r="A42" s="35"/>
      <c r="B42" s="40">
        <f>G42-F42</f>
        <v>-1749024.49</v>
      </c>
      <c r="C42" s="41"/>
      <c r="D42" s="42"/>
      <c r="E42" s="43"/>
      <c r="F42" s="52">
        <v>-52470.73</v>
      </c>
      <c r="G42" s="44">
        <v>-1801495.22</v>
      </c>
      <c r="H42" s="45"/>
      <c r="I42" s="40"/>
      <c r="J42" s="68"/>
      <c r="K42" s="69" t="s">
        <v>62</v>
      </c>
      <c r="L42" s="69" t="s">
        <v>63</v>
      </c>
      <c r="M42" s="67"/>
      <c r="N42" s="67"/>
      <c r="O42" s="66"/>
    </row>
    <row r="43" s="10" customFormat="1" ht="18" customHeight="1" spans="1:15">
      <c r="A43" s="35"/>
      <c r="B43" s="40">
        <f t="shared" ref="B43:B45" si="10">G43-F43</f>
        <v>-1145631.07</v>
      </c>
      <c r="C43" s="41"/>
      <c r="D43" s="42"/>
      <c r="E43" s="43"/>
      <c r="F43" s="52">
        <v>-34368.93</v>
      </c>
      <c r="G43" s="44">
        <v>-1180000</v>
      </c>
      <c r="H43" s="45">
        <v>43945</v>
      </c>
      <c r="I43" s="40"/>
      <c r="J43" s="68"/>
      <c r="K43" s="69" t="s">
        <v>62</v>
      </c>
      <c r="L43" s="66" t="s">
        <v>49</v>
      </c>
      <c r="M43" s="67"/>
      <c r="N43" s="67"/>
      <c r="O43" s="66"/>
    </row>
    <row r="44" s="10" customFormat="1" ht="18" customHeight="1" spans="1:15">
      <c r="A44" s="35"/>
      <c r="B44" s="40">
        <f t="shared" si="10"/>
        <v>-4211495.35</v>
      </c>
      <c r="C44" s="41"/>
      <c r="D44" s="42"/>
      <c r="E44" s="43"/>
      <c r="F44" s="52">
        <v>-126344.65</v>
      </c>
      <c r="G44" s="44">
        <v>-4337840</v>
      </c>
      <c r="H44" s="45">
        <v>43946</v>
      </c>
      <c r="I44" s="40"/>
      <c r="J44" s="68"/>
      <c r="K44" s="69" t="s">
        <v>62</v>
      </c>
      <c r="L44" s="66" t="s">
        <v>49</v>
      </c>
      <c r="M44" s="67"/>
      <c r="N44" s="67"/>
      <c r="O44" s="66"/>
    </row>
    <row r="45" s="10" customFormat="1" ht="18" customHeight="1" spans="1:15">
      <c r="A45" s="35"/>
      <c r="B45" s="40">
        <f t="shared" si="10"/>
        <v>4883044.02</v>
      </c>
      <c r="C45" s="41"/>
      <c r="D45" s="42"/>
      <c r="E45" s="43"/>
      <c r="F45" s="52">
        <v>634795.98</v>
      </c>
      <c r="G45" s="44">
        <v>5517840</v>
      </c>
      <c r="H45" s="45">
        <v>43947</v>
      </c>
      <c r="I45" s="40"/>
      <c r="J45" s="68"/>
      <c r="K45" s="69" t="s">
        <v>62</v>
      </c>
      <c r="L45" s="69" t="s">
        <v>64</v>
      </c>
      <c r="M45" s="67"/>
      <c r="N45" s="67"/>
      <c r="O45" s="66"/>
    </row>
    <row r="46" s="10" customFormat="1" ht="18" customHeight="1" spans="1:15">
      <c r="A46" s="35"/>
      <c r="B46" s="40"/>
      <c r="C46" s="41"/>
      <c r="D46" s="42"/>
      <c r="E46" s="43"/>
      <c r="F46" s="52"/>
      <c r="G46" s="44"/>
      <c r="H46" s="45"/>
      <c r="I46" s="40"/>
      <c r="J46" s="68"/>
      <c r="K46" s="69"/>
      <c r="L46" s="69"/>
      <c r="M46" s="67"/>
      <c r="N46" s="67"/>
      <c r="O46" s="66"/>
    </row>
    <row r="47" s="10" customFormat="1" ht="18" customHeight="1" spans="1:15">
      <c r="A47" s="35"/>
      <c r="B47" s="25">
        <f t="shared" si="4"/>
        <v>0</v>
      </c>
      <c r="C47" s="36"/>
      <c r="D47" s="37"/>
      <c r="E47" s="38"/>
      <c r="F47" s="51">
        <f t="shared" si="5"/>
        <v>0</v>
      </c>
      <c r="G47" s="30"/>
      <c r="H47" s="27"/>
      <c r="I47" s="8"/>
      <c r="J47" s="63"/>
      <c r="K47" s="65"/>
      <c r="L47" s="66"/>
      <c r="M47" s="67"/>
      <c r="N47" s="67"/>
      <c r="O47" s="66"/>
    </row>
    <row r="48" s="10" customFormat="1" ht="18" customHeight="1" spans="1:15">
      <c r="A48" s="35"/>
      <c r="B48" s="25"/>
      <c r="C48" s="36"/>
      <c r="D48" s="37"/>
      <c r="E48" s="38"/>
      <c r="F48" s="51"/>
      <c r="G48" s="30"/>
      <c r="H48" s="27"/>
      <c r="I48" s="8"/>
      <c r="J48" s="63"/>
      <c r="K48" s="65"/>
      <c r="L48" s="66"/>
      <c r="M48" s="67"/>
      <c r="N48" s="67"/>
      <c r="O48" s="66"/>
    </row>
    <row r="49" s="10" customFormat="1" ht="18" customHeight="1" spans="1:15">
      <c r="A49" s="35"/>
      <c r="B49" s="25"/>
      <c r="C49" s="36"/>
      <c r="D49" s="37"/>
      <c r="E49" s="38"/>
      <c r="F49" s="51"/>
      <c r="G49" s="30"/>
      <c r="H49" s="27" t="s">
        <v>100</v>
      </c>
      <c r="I49" s="8">
        <v>56000</v>
      </c>
      <c r="J49" s="63" t="s">
        <v>90</v>
      </c>
      <c r="K49" s="65" t="s">
        <v>101</v>
      </c>
      <c r="L49" s="66"/>
      <c r="M49" s="67"/>
      <c r="N49" s="67"/>
      <c r="O49" s="66"/>
    </row>
    <row r="50" s="10" customFormat="1" ht="18" customHeight="1" spans="1:15">
      <c r="A50" s="35"/>
      <c r="B50" s="25"/>
      <c r="C50" s="36"/>
      <c r="D50" s="37"/>
      <c r="E50" s="38"/>
      <c r="F50" s="51"/>
      <c r="G50" s="30"/>
      <c r="H50" s="27" t="s">
        <v>100</v>
      </c>
      <c r="I50" s="8">
        <v>110620</v>
      </c>
      <c r="J50" s="63" t="s">
        <v>90</v>
      </c>
      <c r="K50" s="65" t="s">
        <v>105</v>
      </c>
      <c r="L50" s="66"/>
      <c r="M50" s="67"/>
      <c r="N50" s="67"/>
      <c r="O50" s="66"/>
    </row>
    <row r="51" s="10" customFormat="1" ht="18" customHeight="1" spans="1:15">
      <c r="A51" s="35"/>
      <c r="B51" s="25"/>
      <c r="C51" s="36"/>
      <c r="D51" s="37"/>
      <c r="E51" s="38"/>
      <c r="F51" s="51"/>
      <c r="G51" s="30"/>
      <c r="H51" s="27" t="s">
        <v>100</v>
      </c>
      <c r="I51" s="8">
        <v>123433.33</v>
      </c>
      <c r="J51" s="63" t="s">
        <v>90</v>
      </c>
      <c r="K51" s="65" t="s">
        <v>103</v>
      </c>
      <c r="L51" s="66"/>
      <c r="M51" s="67"/>
      <c r="N51" s="67"/>
      <c r="O51" s="66"/>
    </row>
    <row r="52" s="10" customFormat="1" ht="18" customHeight="1" spans="1:15">
      <c r="A52" s="35"/>
      <c r="B52" s="25"/>
      <c r="C52" s="36"/>
      <c r="D52" s="37"/>
      <c r="E52" s="38"/>
      <c r="F52" s="51"/>
      <c r="G52" s="30"/>
      <c r="H52" s="27" t="s">
        <v>100</v>
      </c>
      <c r="I52" s="8">
        <v>3000000</v>
      </c>
      <c r="J52" s="63" t="s">
        <v>90</v>
      </c>
      <c r="K52" s="65" t="s">
        <v>104</v>
      </c>
      <c r="L52" s="66"/>
      <c r="M52" s="67"/>
      <c r="N52" s="67"/>
      <c r="O52" s="66"/>
    </row>
    <row r="53" s="10" customFormat="1" ht="18" customHeight="1" spans="1:15">
      <c r="A53" s="35"/>
      <c r="B53" s="25"/>
      <c r="C53" s="36"/>
      <c r="D53" s="37"/>
      <c r="E53" s="38"/>
      <c r="F53" s="51"/>
      <c r="G53" s="30"/>
      <c r="H53" s="27" t="s">
        <v>100</v>
      </c>
      <c r="I53" s="8">
        <v>6000</v>
      </c>
      <c r="J53" s="63" t="s">
        <v>90</v>
      </c>
      <c r="K53" s="65" t="s">
        <v>101</v>
      </c>
      <c r="L53" s="66"/>
      <c r="M53" s="67"/>
      <c r="N53" s="67"/>
      <c r="O53" s="66"/>
    </row>
    <row r="54" s="10" customFormat="1" ht="18" customHeight="1" spans="1:15">
      <c r="A54" s="35"/>
      <c r="B54" s="25"/>
      <c r="C54" s="36"/>
      <c r="D54" s="37"/>
      <c r="E54" s="38"/>
      <c r="F54" s="51"/>
      <c r="G54" s="30"/>
      <c r="H54" s="27" t="s">
        <v>100</v>
      </c>
      <c r="I54" s="8">
        <v>78910</v>
      </c>
      <c r="J54" s="63" t="s">
        <v>90</v>
      </c>
      <c r="K54" s="65" t="s">
        <v>105</v>
      </c>
      <c r="L54" s="66"/>
      <c r="M54" s="67"/>
      <c r="N54" s="67"/>
      <c r="O54" s="66"/>
    </row>
    <row r="55" s="10" customFormat="1" ht="18" customHeight="1" spans="1:15">
      <c r="A55" s="35"/>
      <c r="B55" s="25"/>
      <c r="C55" s="36"/>
      <c r="D55" s="37"/>
      <c r="E55" s="38"/>
      <c r="F55" s="51"/>
      <c r="G55" s="30"/>
      <c r="H55" s="27" t="s">
        <v>106</v>
      </c>
      <c r="I55" s="8">
        <v>500</v>
      </c>
      <c r="J55" s="63" t="s">
        <v>90</v>
      </c>
      <c r="K55" s="65" t="s">
        <v>107</v>
      </c>
      <c r="L55" s="66"/>
      <c r="M55" s="67"/>
      <c r="N55" s="67"/>
      <c r="O55" s="66"/>
    </row>
    <row r="56" s="10" customFormat="1" ht="18" customHeight="1" spans="1:15">
      <c r="A56" s="35"/>
      <c r="B56" s="25"/>
      <c r="C56" s="36"/>
      <c r="D56" s="37"/>
      <c r="E56" s="38"/>
      <c r="F56" s="51"/>
      <c r="G56" s="30"/>
      <c r="H56" s="27" t="s">
        <v>106</v>
      </c>
      <c r="I56" s="8">
        <v>70924</v>
      </c>
      <c r="J56" s="63" t="s">
        <v>90</v>
      </c>
      <c r="K56" s="65" t="s">
        <v>105</v>
      </c>
      <c r="L56" s="66"/>
      <c r="M56" s="67"/>
      <c r="N56" s="67"/>
      <c r="O56" s="66"/>
    </row>
    <row r="57" s="10" customFormat="1" ht="18" customHeight="1" spans="1:15">
      <c r="A57" s="35"/>
      <c r="B57" s="25">
        <f>ROUND(G57/(1+E57),2)</f>
        <v>0</v>
      </c>
      <c r="C57" s="36"/>
      <c r="D57" s="37"/>
      <c r="E57" s="38"/>
      <c r="F57" s="25">
        <f>ROUND(G57/(1+E57)*E57,2)</f>
        <v>0</v>
      </c>
      <c r="G57" s="30"/>
      <c r="H57" s="27" t="s">
        <v>108</v>
      </c>
      <c r="I57" s="72">
        <v>175680</v>
      </c>
      <c r="J57" s="73" t="s">
        <v>109</v>
      </c>
      <c r="K57" s="74" t="s">
        <v>110</v>
      </c>
      <c r="L57" s="66"/>
      <c r="M57" s="67"/>
      <c r="N57" s="67"/>
      <c r="O57" s="66"/>
    </row>
    <row r="58" s="10" customFormat="1" ht="18" customHeight="1" spans="1:15">
      <c r="A58" s="35"/>
      <c r="B58" s="25">
        <f>ROUND(G58/(1+E58),2)</f>
        <v>301000</v>
      </c>
      <c r="C58" s="36"/>
      <c r="D58" s="37"/>
      <c r="E58" s="38"/>
      <c r="F58" s="25">
        <f>ROUND(G58/(1+E58)*E58,2)</f>
        <v>0</v>
      </c>
      <c r="G58" s="30">
        <f>121900+135625+43475</f>
        <v>301000</v>
      </c>
      <c r="H58" s="27"/>
      <c r="I58" s="8">
        <f>G58</f>
        <v>301000</v>
      </c>
      <c r="J58" s="63" t="s">
        <v>90</v>
      </c>
      <c r="K58" s="65" t="s">
        <v>96</v>
      </c>
      <c r="L58" s="66"/>
      <c r="M58" s="67"/>
      <c r="N58" s="67"/>
      <c r="O58" s="66"/>
    </row>
    <row r="59" ht="18" customHeight="1" spans="1:15">
      <c r="A59" s="32" t="s">
        <v>24</v>
      </c>
      <c r="B59" s="31">
        <f t="shared" ref="B59:G59" si="11">SUM(B16:B58)</f>
        <v>10792433.47</v>
      </c>
      <c r="C59" s="32"/>
      <c r="D59" s="53"/>
      <c r="E59" s="53"/>
      <c r="F59" s="5">
        <f t="shared" si="11"/>
        <v>1384571.31</v>
      </c>
      <c r="G59" s="54">
        <f t="shared" si="11"/>
        <v>12177004.78</v>
      </c>
      <c r="H59" s="55"/>
      <c r="I59" s="33">
        <f>SUM(I16:I58)</f>
        <v>13138000</v>
      </c>
      <c r="J59" s="75"/>
      <c r="K59" s="53"/>
      <c r="L59" s="34"/>
      <c r="M59" s="63"/>
      <c r="N59" s="63"/>
      <c r="O59" s="34"/>
    </row>
    <row r="60" ht="18" customHeight="1" spans="1:14">
      <c r="A60" s="56" t="s">
        <v>111</v>
      </c>
      <c r="B60" s="57">
        <f>B13*0.984</f>
        <v>13313372.2768974</v>
      </c>
      <c r="C60" s="56"/>
      <c r="D60" s="58"/>
      <c r="E60" s="58"/>
      <c r="F60" s="57">
        <f t="shared" ref="F60:I60" si="12">F13-F59</f>
        <v>-324018.182393661</v>
      </c>
      <c r="G60" s="57">
        <f t="shared" si="12"/>
        <v>2683995.22</v>
      </c>
      <c r="H60" s="1" t="s">
        <v>112</v>
      </c>
      <c r="I60" s="33">
        <f t="shared" si="12"/>
        <v>0</v>
      </c>
      <c r="J60" s="15"/>
      <c r="K60" s="76"/>
      <c r="M60" s="77"/>
      <c r="N60" s="77"/>
    </row>
    <row r="61" ht="18" customHeight="1" spans="1:14">
      <c r="A61" s="56" t="s">
        <v>113</v>
      </c>
      <c r="B61" s="57">
        <f>B60-B59</f>
        <v>2520938.80689741</v>
      </c>
      <c r="C61" s="56"/>
      <c r="D61" s="57"/>
      <c r="E61" s="58"/>
      <c r="F61" s="57"/>
      <c r="G61" s="57"/>
      <c r="H61" s="59"/>
      <c r="I61" s="57"/>
      <c r="J61" s="15"/>
      <c r="K61" s="76"/>
      <c r="M61" s="77"/>
      <c r="N61" s="77"/>
    </row>
    <row r="62" ht="18" customHeight="1" spans="1:3">
      <c r="A62" s="11" t="s">
        <v>114</v>
      </c>
      <c r="C62" s="11"/>
    </row>
    <row r="63" ht="18" customHeight="1" spans="1:10">
      <c r="A63" s="1" t="s">
        <v>115</v>
      </c>
      <c r="B63" s="3" t="s">
        <v>116</v>
      </c>
      <c r="C63" s="34"/>
      <c r="D63" s="1" t="s">
        <v>115</v>
      </c>
      <c r="E63" s="2" t="s">
        <v>16</v>
      </c>
      <c r="F63" s="3" t="s">
        <v>116</v>
      </c>
      <c r="G63" s="3" t="s">
        <v>117</v>
      </c>
      <c r="H63" s="3" t="s">
        <v>118</v>
      </c>
      <c r="I63" s="3" t="s">
        <v>119</v>
      </c>
      <c r="J63" s="14" t="s">
        <v>120</v>
      </c>
    </row>
    <row r="64" ht="18" customHeight="1" spans="1:10">
      <c r="A64" s="34" t="s">
        <v>122</v>
      </c>
      <c r="B64" s="25">
        <f>(B60-B59)*0.25</f>
        <v>630234.701724353</v>
      </c>
      <c r="C64" s="34"/>
      <c r="D64" s="4" t="s">
        <v>123</v>
      </c>
      <c r="E64" s="1" t="s">
        <v>124</v>
      </c>
      <c r="F64" s="5">
        <f>F13-F59</f>
        <v>-324018.182393661</v>
      </c>
      <c r="G64" s="5">
        <v>0</v>
      </c>
      <c r="H64" s="5">
        <v>0</v>
      </c>
      <c r="I64" s="5">
        <v>0</v>
      </c>
      <c r="J64" s="78">
        <f>F7+F8+F9+F10+F11-SUM(F16:F37)</f>
        <v>97593.4876063386</v>
      </c>
    </row>
    <row r="65" ht="18" customHeight="1" spans="1:10">
      <c r="A65" s="34" t="s">
        <v>125</v>
      </c>
      <c r="B65" s="79" t="s">
        <v>126</v>
      </c>
      <c r="C65" s="34"/>
      <c r="D65" s="6" t="s">
        <v>127</v>
      </c>
      <c r="E65" s="7">
        <v>0.05</v>
      </c>
      <c r="F65" s="8">
        <f>F64*E65</f>
        <v>-16200.9091196831</v>
      </c>
      <c r="G65" s="8">
        <v>0</v>
      </c>
      <c r="H65" s="8">
        <v>0</v>
      </c>
      <c r="I65" s="8">
        <v>0</v>
      </c>
      <c r="J65" s="8">
        <f>J64*E65</f>
        <v>4879.67438031693</v>
      </c>
    </row>
    <row r="66" ht="18" customHeight="1" spans="1:10">
      <c r="A66" s="34" t="s">
        <v>128</v>
      </c>
      <c r="B66" s="79" t="s">
        <v>126</v>
      </c>
      <c r="C66" s="34"/>
      <c r="D66" s="6" t="s">
        <v>129</v>
      </c>
      <c r="E66" s="7">
        <v>0.03</v>
      </c>
      <c r="F66" s="8">
        <f>F64*E66</f>
        <v>-9720.54547180984</v>
      </c>
      <c r="G66" s="8">
        <v>0</v>
      </c>
      <c r="H66" s="8">
        <v>0</v>
      </c>
      <c r="I66" s="8">
        <v>0</v>
      </c>
      <c r="J66" s="8">
        <f>J64*E66</f>
        <v>2927.80462819016</v>
      </c>
    </row>
    <row r="67" ht="18" customHeight="1" spans="1:10">
      <c r="A67" s="34"/>
      <c r="B67" s="8"/>
      <c r="C67" s="34"/>
      <c r="D67" s="6" t="s">
        <v>130</v>
      </c>
      <c r="E67" s="7">
        <v>0.02</v>
      </c>
      <c r="F67" s="8">
        <f>F64*E67</f>
        <v>-6480.36364787323</v>
      </c>
      <c r="G67" s="8">
        <v>0</v>
      </c>
      <c r="H67" s="8">
        <v>0</v>
      </c>
      <c r="I67" s="8">
        <v>0</v>
      </c>
      <c r="J67" s="8">
        <f>J64*E67</f>
        <v>1951.86975212677</v>
      </c>
    </row>
    <row r="68" ht="18" customHeight="1" spans="1:10">
      <c r="A68" s="4" t="s">
        <v>131</v>
      </c>
      <c r="B68" s="31">
        <f>SUM(B64:B67)</f>
        <v>630234.701724353</v>
      </c>
      <c r="C68" s="34"/>
      <c r="D68" s="9" t="s">
        <v>131</v>
      </c>
      <c r="E68" s="4"/>
      <c r="F68" s="5">
        <f>SUM(F64:F67)</f>
        <v>-356420.000633028</v>
      </c>
      <c r="G68" s="5">
        <v>0</v>
      </c>
      <c r="H68" s="5">
        <v>0</v>
      </c>
      <c r="I68" s="5">
        <v>0</v>
      </c>
      <c r="J68" s="8">
        <f>SUM(J64:J67)</f>
        <v>107352.836366972</v>
      </c>
    </row>
    <row r="69" ht="18" customHeight="1" spans="3:9">
      <c r="C69" s="11"/>
      <c r="D69" s="2" t="s">
        <v>24</v>
      </c>
      <c r="E69" s="32"/>
      <c r="F69" s="33">
        <f>F68</f>
        <v>-356420.000633028</v>
      </c>
      <c r="G69" s="33">
        <v>0</v>
      </c>
      <c r="H69" s="33">
        <v>0</v>
      </c>
      <c r="I69" s="33">
        <v>0</v>
      </c>
    </row>
    <row r="70" ht="18" customHeight="1" spans="3:9">
      <c r="C70" s="11"/>
      <c r="D70" s="32" t="s">
        <v>122</v>
      </c>
      <c r="E70" s="53">
        <v>0.016</v>
      </c>
      <c r="F70" s="33">
        <f>B13*E70</f>
        <v>216477.597998332</v>
      </c>
      <c r="G70" s="33">
        <f>B7*E70</f>
        <v>70923.6363636364</v>
      </c>
      <c r="H70" s="33">
        <f>(B8+B9)*E70</f>
        <v>78909.0909090909</v>
      </c>
      <c r="I70" s="33">
        <f>B10*E70</f>
        <v>31709.0909090909</v>
      </c>
    </row>
    <row r="71" ht="18" customHeight="1" spans="3:10">
      <c r="C71" s="11"/>
      <c r="J71" s="80" t="s">
        <v>132</v>
      </c>
    </row>
    <row r="72" ht="18" customHeight="1" spans="3:10">
      <c r="C72" s="11"/>
      <c r="J72" s="80" t="s">
        <v>134</v>
      </c>
    </row>
    <row r="73" ht="18" customHeight="1" spans="3:3">
      <c r="C73" s="11"/>
    </row>
    <row r="74" spans="3:3">
      <c r="C74" s="11"/>
    </row>
    <row r="75" spans="3:3">
      <c r="C75" s="11"/>
    </row>
    <row r="76" spans="3:3">
      <c r="C76" s="11"/>
    </row>
    <row r="77" spans="3:3">
      <c r="C77" s="11"/>
    </row>
    <row r="78" spans="3:3">
      <c r="C78" s="11"/>
    </row>
    <row r="79" spans="3:3">
      <c r="C79" s="11"/>
    </row>
    <row r="80" spans="3:3">
      <c r="C80" s="11"/>
    </row>
    <row r="81" spans="3:3">
      <c r="C81" s="11"/>
    </row>
    <row r="82" spans="3:3">
      <c r="C82" s="11"/>
    </row>
    <row r="83" spans="3:3">
      <c r="C83" s="11"/>
    </row>
    <row r="84" spans="3:3">
      <c r="C84" s="11"/>
    </row>
    <row r="85" spans="3:3">
      <c r="C85" s="11"/>
    </row>
    <row r="86" spans="3:3">
      <c r="C86" s="11"/>
    </row>
    <row r="87" spans="3:3">
      <c r="C87" s="11"/>
    </row>
    <row r="88" spans="3:3">
      <c r="C88" s="11"/>
    </row>
    <row r="89" spans="3:3">
      <c r="C89" s="11"/>
    </row>
    <row r="102" spans="12:12">
      <c r="L102" s="15">
        <v>98018.82</v>
      </c>
    </row>
  </sheetData>
  <protectedRanges>
    <protectedRange password="CF54" sqref="I40" name="区域1"/>
  </protectedRanges>
  <autoFilter ref="A15:O72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111111111111" right="0.236111111111111" top="0.314583333333333" bottom="0.156944444444444" header="0.314583333333333" footer="0.314583333333333"/>
  <pageSetup paperSize="9" orientation="landscape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workbookViewId="0">
      <selection activeCell="J17" sqref="J17"/>
    </sheetView>
  </sheetViews>
  <sheetFormatPr defaultColWidth="9" defaultRowHeight="13.5" outlineLevelRow="5" outlineLevelCol="2"/>
  <sheetData>
    <row r="1" spans="1:3">
      <c r="A1" s="1" t="s">
        <v>115</v>
      </c>
      <c r="B1" s="2" t="s">
        <v>16</v>
      </c>
      <c r="C1" s="3" t="s">
        <v>116</v>
      </c>
    </row>
    <row r="2" spans="1:3">
      <c r="A2" s="4" t="s">
        <v>123</v>
      </c>
      <c r="B2" s="1" t="s">
        <v>124</v>
      </c>
      <c r="C2" s="5">
        <v>97593.4876063386</v>
      </c>
    </row>
    <row r="3" spans="1:3">
      <c r="A3" s="6" t="s">
        <v>127</v>
      </c>
      <c r="B3" s="7">
        <v>0.05</v>
      </c>
      <c r="C3" s="8">
        <v>4879.67438031693</v>
      </c>
    </row>
    <row r="4" spans="1:3">
      <c r="A4" s="6" t="s">
        <v>129</v>
      </c>
      <c r="B4" s="7">
        <v>0.03</v>
      </c>
      <c r="C4" s="8">
        <v>2927.80462819016</v>
      </c>
    </row>
    <row r="5" spans="1:3">
      <c r="A5" s="6" t="s">
        <v>130</v>
      </c>
      <c r="B5" s="7">
        <v>0.02</v>
      </c>
      <c r="C5" s="8">
        <v>1951.86975212677</v>
      </c>
    </row>
    <row r="6" spans="1:3">
      <c r="A6" s="9" t="s">
        <v>131</v>
      </c>
      <c r="B6" s="4"/>
      <c r="C6" s="5">
        <v>107352.836366972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第四次</vt:lpstr>
      <vt:lpstr>新</vt:lpstr>
      <vt:lpstr>旧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2021-08-03T00:55:43Z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5B912ACC1A8A439E88088373B37A07D0</vt:lpwstr>
  </property>
</Properties>
</file>