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新!$A$16:$O$91</definedName>
    <definedName name="_xlnm._FilterDatabase" localSheetId="1" hidden="1">旧!$A$13:$O$77</definedName>
  </definedNames>
  <calcPr calcId="144525" concurrentCalc="0"/>
</workbook>
</file>

<file path=xl/comments1.xml><?xml version="1.0" encoding="utf-8"?>
<comments xmlns="http://schemas.openxmlformats.org/spreadsheetml/2006/main">
  <authors>
    <author>cw01</author>
    <author>cw05</author>
    <author>cw09</author>
  </authors>
  <commentList>
    <comment ref="G71" authorId="0">
      <text>
        <r>
          <rPr>
            <sz val="9"/>
            <rFont val="宋体"/>
            <charset val="134"/>
          </rPr>
          <t>cw01:
已按照合同价全部扣除</t>
        </r>
      </text>
    </comment>
    <comment ref="A78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9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H81" authorId="2">
      <text>
        <r>
          <rPr>
            <sz val="9"/>
            <rFont val="宋体"/>
            <charset val="134"/>
          </rPr>
          <t>cw09:
已收税款41289.33元</t>
        </r>
      </text>
    </comment>
  </commentList>
</comments>
</file>

<file path=xl/comments2.xml><?xml version="1.0" encoding="utf-8"?>
<comments xmlns="http://schemas.openxmlformats.org/spreadsheetml/2006/main">
  <authors>
    <author>cw01</author>
    <author>cw05</author>
    <author>cw09</author>
  </authors>
  <commentList>
    <comment ref="G60" authorId="0">
      <text>
        <r>
          <rPr>
            <sz val="9"/>
            <rFont val="宋体"/>
            <charset val="134"/>
          </rPr>
          <t>cw01:
已按照合同价全部扣除</t>
        </r>
      </text>
    </comment>
    <comment ref="A69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0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H72" authorId="2">
      <text>
        <r>
          <rPr>
            <sz val="9"/>
            <rFont val="宋体"/>
            <charset val="134"/>
          </rPr>
          <t>cw09:
已收税款41289.33元</t>
        </r>
      </text>
    </comment>
  </commentList>
</comments>
</file>

<file path=xl/sharedStrings.xml><?xml version="1.0" encoding="utf-8"?>
<sst xmlns="http://schemas.openxmlformats.org/spreadsheetml/2006/main" count="432" uniqueCount="117">
  <si>
    <t>C9294   桐庐县横村镇道路交通工程（交通标志标线）</t>
  </si>
  <si>
    <t>中标日期</t>
  </si>
  <si>
    <t>中标价</t>
  </si>
  <si>
    <t>负责人</t>
  </si>
  <si>
    <t>周恒泉</t>
  </si>
  <si>
    <t>建设单位</t>
  </si>
  <si>
    <t>杭州横村针织小镇建设开发有限公司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</si>
  <si>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</si>
  <si>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</si>
  <si>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</si>
  <si>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</si>
  <si>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</si>
  <si>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</si>
  <si>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</si>
  <si>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</si>
  <si>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</si>
  <si>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</si>
  <si>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</si>
  <si>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</si>
  <si>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</si>
  <si>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</si>
  <si>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</si>
  <si>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工行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</si>
  <si>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</si>
  <si>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</si>
  <si>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</si>
  <si>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</si>
  <si>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</si>
  <si>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</si>
  <si>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</si>
  <si>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</si>
  <si>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</si>
  <si>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</si>
  <si>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</si>
  <si>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</si>
  <si>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</si>
  <si>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</si>
  <si>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</t>
  </si>
  <si>
    <t>2018-5-</t>
  </si>
  <si>
    <t>桐庐县城南街道畅达广告设计服务部</t>
  </si>
  <si>
    <t>专</t>
  </si>
  <si>
    <t>中国大地财产保险股份有限公司杭州中心支公司</t>
  </si>
  <si>
    <t>2018-10-</t>
  </si>
  <si>
    <t>浙江银龙电力设备制造有限公司</t>
  </si>
  <si>
    <t>2018-11-</t>
  </si>
  <si>
    <t>18-11-</t>
  </si>
  <si>
    <t>服务费</t>
  </si>
  <si>
    <t>2018-12-</t>
  </si>
  <si>
    <t>天台非戴克交通设施厂</t>
  </si>
  <si>
    <t>2019-1-</t>
  </si>
  <si>
    <t>常州市百发交通设施有限公司</t>
  </si>
  <si>
    <t>桐庐万汇交通设施有限公司</t>
  </si>
  <si>
    <t>标线</t>
  </si>
  <si>
    <t>杭州科名商贸有限公司</t>
  </si>
  <si>
    <t>水泥</t>
  </si>
  <si>
    <t>桐庐桐君街道中雅建材经营部</t>
  </si>
  <si>
    <t>砂石</t>
  </si>
  <si>
    <t>桐庐县麻蓬金属材料有限公司</t>
  </si>
  <si>
    <t>热镀锌</t>
  </si>
  <si>
    <t>浙江新通力建设劳务有限公司</t>
  </si>
  <si>
    <t>劳务</t>
  </si>
  <si>
    <t>图片</t>
  </si>
  <si>
    <t>徽行</t>
  </si>
  <si>
    <t>代转材料款</t>
  </si>
  <si>
    <t>柳州市双翎橡胶制品有限公司</t>
  </si>
  <si>
    <t>减速带</t>
  </si>
  <si>
    <t>橡胶减速带1500米、端头100对</t>
  </si>
  <si>
    <t>杭州多木建筑劳务分包有限公司</t>
  </si>
  <si>
    <t>建筑服务</t>
  </si>
  <si>
    <t>有</t>
  </si>
  <si>
    <t>桐庐鸿平交通设施有限公司</t>
  </si>
  <si>
    <t>划停车费</t>
  </si>
  <si>
    <t>机打</t>
  </si>
  <si>
    <t>桐庐县城南街道中创图文工作室</t>
  </si>
  <si>
    <t>标牌、工地警示牌、导向牌、</t>
  </si>
  <si>
    <t>周涛</t>
  </si>
  <si>
    <t>标线清除</t>
  </si>
  <si>
    <t>有货单、有收据</t>
  </si>
  <si>
    <t>桐庐县江南镇书瑶建材商行</t>
  </si>
  <si>
    <t>水泥80吨</t>
  </si>
  <si>
    <t>专票</t>
  </si>
  <si>
    <t>工程服务</t>
  </si>
  <si>
    <t>有，合同价574900</t>
  </si>
  <si>
    <t>7次</t>
  </si>
  <si>
    <t>扣</t>
  </si>
  <si>
    <t>手续费</t>
  </si>
  <si>
    <t>6次</t>
  </si>
  <si>
    <t>外经证</t>
  </si>
  <si>
    <t>5次</t>
  </si>
  <si>
    <t>代办费</t>
  </si>
  <si>
    <t>企税1.6%</t>
  </si>
  <si>
    <t>水利基金</t>
  </si>
  <si>
    <t>管理费</t>
  </si>
  <si>
    <t>应提供成本</t>
  </si>
  <si>
    <t>可支付金额</t>
  </si>
  <si>
    <t>尚需提供成本</t>
  </si>
  <si>
    <t>公司代缴税金：</t>
  </si>
  <si>
    <t>税种</t>
  </si>
  <si>
    <t>税额</t>
  </si>
  <si>
    <t>19.1月开票扣税</t>
  </si>
  <si>
    <t>20.1月开票扣税</t>
  </si>
  <si>
    <t>2020年9月开票税金</t>
  </si>
  <si>
    <t>企业所得税</t>
  </si>
  <si>
    <t>增值税</t>
  </si>
  <si>
    <t>差额</t>
  </si>
  <si>
    <t>印花税</t>
  </si>
  <si>
    <t>已交</t>
  </si>
  <si>
    <t>城市维护建设税</t>
  </si>
  <si>
    <t>未缴</t>
  </si>
  <si>
    <t>教育费附加</t>
  </si>
  <si>
    <t>地方教育费附加</t>
  </si>
  <si>
    <t>小计</t>
  </si>
  <si>
    <t>总企税</t>
  </si>
  <si>
    <t>已扣</t>
  </si>
  <si>
    <t>总增值税及附加</t>
  </si>
  <si>
    <t>桐庐县横村镇道路交通工程（交通标志标线）</t>
  </si>
  <si>
    <t>庐江县江南镇书瑶建材商行</t>
  </si>
</sst>
</file>

<file path=xl/styles.xml><?xml version="1.0" encoding="utf-8"?>
<styleSheet xmlns="http://schemas.openxmlformats.org/spreadsheetml/2006/main">
  <numFmts count="9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_ "/>
    <numFmt numFmtId="179" formatCode="yyyy&quot;年&quot;m&quot;月&quot;;@"/>
    <numFmt numFmtId="180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00B05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92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8" fontId="2" fillId="0" borderId="2" xfId="0" applyNumberFormat="1" applyFont="1" applyBorder="1" applyAlignment="1">
      <alignment vertical="center"/>
    </xf>
    <xf numFmtId="0" fontId="4" fillId="0" borderId="0" xfId="0" applyFont="1"/>
    <xf numFmtId="178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/>
    </xf>
    <xf numFmtId="176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9" fontId="2" fillId="5" borderId="2" xfId="11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 shrinkToFit="1"/>
    </xf>
    <xf numFmtId="0" fontId="2" fillId="0" borderId="2" xfId="0" applyFont="1" applyBorder="1" applyAlignment="1" applyProtection="1">
      <alignment horizontal="left" vertical="top" wrapText="1"/>
    </xf>
    <xf numFmtId="178" fontId="2" fillId="0" borderId="2" xfId="0" applyNumberFormat="1" applyFont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left" vertical="top" wrapText="1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8" fontId="4" fillId="0" borderId="0" xfId="0" applyNumberFormat="1" applyFont="1"/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9" fontId="6" fillId="0" borderId="2" xfId="11" applyNumberFormat="1" applyFont="1" applyBorder="1" applyAlignment="1">
      <alignment horizontal="center" vertical="center"/>
    </xf>
    <xf numFmtId="178" fontId="6" fillId="0" borderId="2" xfId="0" applyNumberFormat="1" applyFont="1" applyFill="1" applyBorder="1" applyAlignment="1">
      <alignment vertical="center"/>
    </xf>
    <xf numFmtId="178" fontId="6" fillId="2" borderId="2" xfId="0" applyNumberFormat="1" applyFont="1" applyFill="1" applyBorder="1" applyAlignment="1">
      <alignment vertical="center"/>
    </xf>
    <xf numFmtId="178" fontId="5" fillId="3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2" fillId="2" borderId="2" xfId="0" applyNumberFormat="1" applyFont="1" applyFill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/>
    </xf>
    <xf numFmtId="178" fontId="2" fillId="6" borderId="2" xfId="0" applyNumberFormat="1" applyFont="1" applyFill="1" applyBorder="1" applyAlignment="1">
      <alignment vertical="center"/>
    </xf>
    <xf numFmtId="0" fontId="1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 wrapText="1" shrinkToFit="1"/>
    </xf>
    <xf numFmtId="178" fontId="2" fillId="6" borderId="2" xfId="0" applyNumberFormat="1" applyFont="1" applyFill="1" applyBorder="1" applyAlignment="1" applyProtection="1">
      <alignment horizontal="center" vertical="center" wrapText="1"/>
    </xf>
    <xf numFmtId="178" fontId="1" fillId="6" borderId="2" xfId="0" applyNumberFormat="1" applyFont="1" applyFill="1" applyBorder="1" applyAlignment="1">
      <alignment vertical="center"/>
    </xf>
    <xf numFmtId="0" fontId="1" fillId="6" borderId="2" xfId="0" applyFont="1" applyFill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</xf>
    <xf numFmtId="178" fontId="5" fillId="0" borderId="3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1270</xdr:colOff>
      <xdr:row>85</xdr:row>
      <xdr:rowOff>40640</xdr:rowOff>
    </xdr:from>
    <xdr:to>
      <xdr:col>10</xdr:col>
      <xdr:colOff>2150110</xdr:colOff>
      <xdr:row>99</xdr:row>
      <xdr:rowOff>63500</xdr:rowOff>
    </xdr:to>
    <xdr:pic>
      <xdr:nvPicPr>
        <xdr:cNvPr id="2" name="图片 1" descr="YX7TL[HM}ZQIV}DF%M0F@D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7995" y="19521805"/>
          <a:ext cx="2148840" cy="22802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9525</xdr:colOff>
      <xdr:row>75</xdr:row>
      <xdr:rowOff>64135</xdr:rowOff>
    </xdr:from>
    <xdr:to>
      <xdr:col>10</xdr:col>
      <xdr:colOff>334010</xdr:colOff>
      <xdr:row>83</xdr:row>
      <xdr:rowOff>116205</xdr:rowOff>
    </xdr:to>
    <xdr:pic>
      <xdr:nvPicPr>
        <xdr:cNvPr id="2" name="图片 1" descr="YX7TL[HM}ZQIV}DF%M0F@D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38825" y="17259300"/>
          <a:ext cx="2581910" cy="1537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4"/>
  <sheetViews>
    <sheetView tabSelected="1" topLeftCell="A64" workbookViewId="0">
      <selection activeCell="H92" sqref="H92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17.25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43168</v>
      </c>
      <c r="C2" s="11" t="s">
        <v>2</v>
      </c>
      <c r="D2" s="71">
        <v>3569284</v>
      </c>
      <c r="E2" s="13" t="s">
        <v>3</v>
      </c>
      <c r="F2" s="11" t="s">
        <v>4</v>
      </c>
      <c r="G2" s="14" t="s">
        <v>5</v>
      </c>
      <c r="H2" s="15" t="s">
        <v>6</v>
      </c>
      <c r="I2" s="50"/>
      <c r="J2" s="51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>
        <v>3029813</v>
      </c>
      <c r="H3" s="17"/>
      <c r="I3" s="52"/>
      <c r="J3" s="17"/>
      <c r="K3" s="17"/>
      <c r="L3" s="17"/>
    </row>
    <row r="4" ht="18" customHeight="1" spans="1:12">
      <c r="A4" s="2" t="s">
        <v>9</v>
      </c>
      <c r="H4" s="17"/>
      <c r="I4" s="52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43481</v>
      </c>
      <c r="B7" s="11">
        <f t="shared" ref="B7:B9" si="0">G7/(1+C7+E7)</f>
        <v>1512727.27272727</v>
      </c>
      <c r="C7" s="23">
        <v>0.02</v>
      </c>
      <c r="D7" s="72">
        <f t="shared" ref="D7:D9" si="1">G7/(1+E7+C7)*C7</f>
        <v>30254.5454545455</v>
      </c>
      <c r="E7" s="23">
        <v>0.08</v>
      </c>
      <c r="F7" s="11">
        <f t="shared" ref="F7:F9" si="2">G7/(1+C7+E7)*E7</f>
        <v>121018.181818182</v>
      </c>
      <c r="G7" s="73">
        <v>1664000</v>
      </c>
      <c r="H7" s="21">
        <v>43494</v>
      </c>
      <c r="I7" s="11">
        <v>1000000</v>
      </c>
      <c r="J7" s="53" t="s">
        <v>21</v>
      </c>
    </row>
    <row r="8" ht="18" customHeight="1" spans="1:10">
      <c r="A8" s="21">
        <v>43837</v>
      </c>
      <c r="B8" s="11">
        <f t="shared" si="0"/>
        <v>1091743.11926606</v>
      </c>
      <c r="C8" s="23">
        <v>0.02</v>
      </c>
      <c r="D8" s="72">
        <f t="shared" si="1"/>
        <v>21834.8623853211</v>
      </c>
      <c r="E8" s="26">
        <v>0.07</v>
      </c>
      <c r="F8" s="11">
        <f t="shared" si="2"/>
        <v>76422.0183486239</v>
      </c>
      <c r="G8" s="73">
        <v>1190000</v>
      </c>
      <c r="H8" s="21">
        <v>43621</v>
      </c>
      <c r="I8" s="11">
        <v>364000</v>
      </c>
      <c r="J8" s="53" t="s">
        <v>21</v>
      </c>
    </row>
    <row r="9" ht="18" customHeight="1" spans="1:10">
      <c r="A9" s="21">
        <v>44076</v>
      </c>
      <c r="B9" s="11">
        <f t="shared" si="0"/>
        <v>91804.5871559633</v>
      </c>
      <c r="C9" s="23">
        <v>0.02</v>
      </c>
      <c r="D9" s="72">
        <f t="shared" si="1"/>
        <v>1836.09174311927</v>
      </c>
      <c r="E9" s="26">
        <v>0.07</v>
      </c>
      <c r="F9" s="11">
        <f t="shared" si="2"/>
        <v>6426.32110091743</v>
      </c>
      <c r="G9" s="73">
        <v>100067</v>
      </c>
      <c r="H9" s="21">
        <v>43703</v>
      </c>
      <c r="I9" s="11">
        <v>300000</v>
      </c>
      <c r="J9" s="53" t="s">
        <v>21</v>
      </c>
    </row>
    <row r="10" ht="18" customHeight="1" spans="1:10">
      <c r="A10" s="21"/>
      <c r="B10" s="74">
        <f>G10/(1+C10+E10)</f>
        <v>69491.743119266</v>
      </c>
      <c r="C10" s="75">
        <v>0.02</v>
      </c>
      <c r="D10" s="76">
        <f>G10/(1+E10+C10)*C10</f>
        <v>1389.83486238532</v>
      </c>
      <c r="E10" s="75">
        <v>0.07</v>
      </c>
      <c r="F10" s="74">
        <f>G10/(1+C10+E10)*E10</f>
        <v>4864.42201834862</v>
      </c>
      <c r="G10" s="77">
        <v>75746</v>
      </c>
      <c r="H10" s="21">
        <v>43840</v>
      </c>
      <c r="I10" s="11">
        <v>1040000</v>
      </c>
      <c r="J10" s="53" t="s">
        <v>21</v>
      </c>
    </row>
    <row r="11" ht="18" customHeight="1" spans="1:10">
      <c r="A11" s="21"/>
      <c r="B11" s="11"/>
      <c r="C11" s="23"/>
      <c r="D11" s="72"/>
      <c r="E11" s="26"/>
      <c r="F11" s="11"/>
      <c r="G11" s="73"/>
      <c r="H11" s="21">
        <v>43950</v>
      </c>
      <c r="I11" s="11">
        <v>150000</v>
      </c>
      <c r="J11" s="53" t="s">
        <v>21</v>
      </c>
    </row>
    <row r="12" ht="18" customHeight="1" spans="1:10">
      <c r="A12" s="21"/>
      <c r="B12" s="11"/>
      <c r="C12" s="23"/>
      <c r="D12" s="72"/>
      <c r="E12" s="26"/>
      <c r="F12" s="11"/>
      <c r="G12" s="73"/>
      <c r="H12" s="21">
        <v>44118</v>
      </c>
      <c r="I12" s="11">
        <v>100067</v>
      </c>
      <c r="J12" s="53" t="s">
        <v>22</v>
      </c>
    </row>
    <row r="13" ht="18" customHeight="1" spans="1:10">
      <c r="A13" s="21"/>
      <c r="B13" s="11"/>
      <c r="C13" s="23"/>
      <c r="D13" s="72"/>
      <c r="E13" s="26"/>
      <c r="F13" s="11"/>
      <c r="G13" s="73"/>
      <c r="H13" s="21"/>
      <c r="I13" s="11"/>
      <c r="J13" s="53"/>
    </row>
    <row r="14" ht="18" customHeight="1" spans="1:11">
      <c r="A14" s="27" t="s">
        <v>23</v>
      </c>
      <c r="B14" s="78">
        <f>SUM(B7:B13)</f>
        <v>2765766.72226856</v>
      </c>
      <c r="C14" s="29"/>
      <c r="D14" s="29">
        <f>SUM(D7:D13)</f>
        <v>55315.3344453711</v>
      </c>
      <c r="E14" s="29"/>
      <c r="F14" s="79">
        <f>SUM(F7:F13)</f>
        <v>208730.943286072</v>
      </c>
      <c r="G14" s="29">
        <f>SUM(G7:G13)</f>
        <v>3029813</v>
      </c>
      <c r="H14" s="32"/>
      <c r="I14" s="29">
        <f>SUM(I7:I13)</f>
        <v>2954067</v>
      </c>
      <c r="J14" s="32"/>
      <c r="K14" s="6">
        <f>D3-I14</f>
        <v>75746</v>
      </c>
    </row>
    <row r="15" ht="18" customHeight="1" spans="1:12">
      <c r="A15" s="2" t="s">
        <v>24</v>
      </c>
      <c r="J15" s="4"/>
      <c r="K15" s="4"/>
      <c r="L15" s="5"/>
    </row>
    <row r="16" ht="18" customHeight="1" spans="1:15">
      <c r="A16" s="33" t="s">
        <v>25</v>
      </c>
      <c r="B16" s="19" t="s">
        <v>26</v>
      </c>
      <c r="C16" s="18" t="s">
        <v>27</v>
      </c>
      <c r="D16" s="18" t="s">
        <v>28</v>
      </c>
      <c r="E16" s="18" t="s">
        <v>16</v>
      </c>
      <c r="F16" s="19" t="s">
        <v>29</v>
      </c>
      <c r="G16" s="19" t="s">
        <v>14</v>
      </c>
      <c r="H16" s="18" t="s">
        <v>30</v>
      </c>
      <c r="I16" s="19" t="s">
        <v>31</v>
      </c>
      <c r="J16" s="18" t="s">
        <v>20</v>
      </c>
      <c r="K16" s="54" t="s">
        <v>32</v>
      </c>
      <c r="L16" s="20" t="s">
        <v>33</v>
      </c>
      <c r="M16" s="20" t="s">
        <v>34</v>
      </c>
      <c r="N16" s="20" t="s">
        <v>35</v>
      </c>
      <c r="O16" s="20" t="s">
        <v>36</v>
      </c>
    </row>
    <row r="17" s="1" customFormat="1" ht="18" customHeight="1" spans="1:15">
      <c r="A17" s="34">
        <v>43221</v>
      </c>
      <c r="B17" s="80">
        <f t="shared" ref="B17:B65" si="3">ROUND(G17/(1+E17),2)</f>
        <v>26500</v>
      </c>
      <c r="C17" s="35"/>
      <c r="D17" s="36" t="s">
        <v>37</v>
      </c>
      <c r="E17" s="37"/>
      <c r="F17" s="80">
        <f t="shared" ref="F17:F65" si="4">ROUND(G17/(1+E17)*E17,2)</f>
        <v>0</v>
      </c>
      <c r="G17" s="81">
        <v>26500</v>
      </c>
      <c r="H17" s="21" t="s">
        <v>38</v>
      </c>
      <c r="I17" s="11">
        <v>26500</v>
      </c>
      <c r="J17" s="55"/>
      <c r="K17" s="56" t="s">
        <v>39</v>
      </c>
      <c r="L17" s="57"/>
      <c r="M17" s="58"/>
      <c r="N17" s="58"/>
      <c r="O17" s="57"/>
    </row>
    <row r="18" s="1" customFormat="1" ht="18" customHeight="1" spans="1:15">
      <c r="A18" s="39"/>
      <c r="B18" s="80">
        <f t="shared" si="3"/>
        <v>0</v>
      </c>
      <c r="C18" s="35"/>
      <c r="D18" s="36"/>
      <c r="E18" s="37"/>
      <c r="F18" s="80">
        <f t="shared" si="4"/>
        <v>0</v>
      </c>
      <c r="G18" s="81"/>
      <c r="H18" s="21" t="s">
        <v>38</v>
      </c>
      <c r="I18" s="11">
        <v>-26500</v>
      </c>
      <c r="J18" s="55"/>
      <c r="K18" s="56" t="s">
        <v>4</v>
      </c>
      <c r="L18" s="57"/>
      <c r="M18" s="58"/>
      <c r="N18" s="58"/>
      <c r="O18" s="57"/>
    </row>
    <row r="19" s="1" customFormat="1" ht="18" customHeight="1" spans="1:15">
      <c r="A19" s="34">
        <v>43221</v>
      </c>
      <c r="B19" s="80">
        <f t="shared" si="3"/>
        <v>15579.16</v>
      </c>
      <c r="C19" s="35"/>
      <c r="D19" s="36" t="s">
        <v>40</v>
      </c>
      <c r="E19" s="40">
        <v>0.06</v>
      </c>
      <c r="F19" s="80">
        <f t="shared" si="4"/>
        <v>934.75</v>
      </c>
      <c r="G19" s="73">
        <v>16513.91</v>
      </c>
      <c r="H19" s="21" t="s">
        <v>38</v>
      </c>
      <c r="I19" s="11">
        <v>16513.91</v>
      </c>
      <c r="J19" s="55"/>
      <c r="K19" s="59" t="s">
        <v>41</v>
      </c>
      <c r="L19" s="57"/>
      <c r="M19" s="58"/>
      <c r="N19" s="58"/>
      <c r="O19" s="57"/>
    </row>
    <row r="20" s="1" customFormat="1" ht="18" customHeight="1" spans="1:15">
      <c r="A20" s="39"/>
      <c r="B20" s="80">
        <f t="shared" si="3"/>
        <v>0</v>
      </c>
      <c r="C20" s="35"/>
      <c r="D20" s="36"/>
      <c r="E20" s="37"/>
      <c r="F20" s="80">
        <f t="shared" si="4"/>
        <v>0</v>
      </c>
      <c r="G20" s="73"/>
      <c r="H20" s="21" t="s">
        <v>38</v>
      </c>
      <c r="I20" s="11">
        <v>-16513.91</v>
      </c>
      <c r="J20" s="55"/>
      <c r="K20" s="56" t="s">
        <v>4</v>
      </c>
      <c r="L20" s="57"/>
      <c r="M20" s="58"/>
      <c r="N20" s="58"/>
      <c r="O20" s="57"/>
    </row>
    <row r="21" s="1" customFormat="1" ht="18" customHeight="1" spans="1:15">
      <c r="A21" s="39"/>
      <c r="B21" s="80">
        <f t="shared" si="3"/>
        <v>0</v>
      </c>
      <c r="C21" s="35"/>
      <c r="D21" s="36"/>
      <c r="E21" s="37"/>
      <c r="F21" s="80">
        <f t="shared" si="4"/>
        <v>0</v>
      </c>
      <c r="G21" s="73"/>
      <c r="H21" s="21" t="s">
        <v>42</v>
      </c>
      <c r="I21" s="11">
        <v>200000</v>
      </c>
      <c r="J21" s="55"/>
      <c r="K21" s="56" t="s">
        <v>43</v>
      </c>
      <c r="L21" s="57"/>
      <c r="M21" s="58"/>
      <c r="N21" s="58"/>
      <c r="O21" s="57"/>
    </row>
    <row r="22" s="1" customFormat="1" ht="18" customHeight="1" spans="1:15">
      <c r="A22" s="39"/>
      <c r="B22" s="80">
        <f t="shared" si="3"/>
        <v>0</v>
      </c>
      <c r="C22" s="35"/>
      <c r="D22" s="36"/>
      <c r="E22" s="37"/>
      <c r="F22" s="80">
        <f t="shared" si="4"/>
        <v>0</v>
      </c>
      <c r="G22" s="73"/>
      <c r="H22" s="21" t="s">
        <v>42</v>
      </c>
      <c r="I22" s="11">
        <v>-200000</v>
      </c>
      <c r="J22" s="55"/>
      <c r="K22" s="56" t="s">
        <v>4</v>
      </c>
      <c r="L22" s="57"/>
      <c r="M22" s="58"/>
      <c r="N22" s="58"/>
      <c r="O22" s="57"/>
    </row>
    <row r="23" s="1" customFormat="1" ht="18" customHeight="1" spans="1:15">
      <c r="A23" s="39"/>
      <c r="B23" s="80">
        <f t="shared" si="3"/>
        <v>0</v>
      </c>
      <c r="C23" s="35"/>
      <c r="D23" s="36"/>
      <c r="E23" s="37"/>
      <c r="F23" s="80">
        <f t="shared" si="4"/>
        <v>0</v>
      </c>
      <c r="G23" s="73"/>
      <c r="H23" s="21" t="s">
        <v>44</v>
      </c>
      <c r="I23" s="11">
        <v>100000</v>
      </c>
      <c r="J23" s="55"/>
      <c r="K23" s="56" t="s">
        <v>43</v>
      </c>
      <c r="L23" s="57"/>
      <c r="M23" s="58"/>
      <c r="N23" s="58"/>
      <c r="O23" s="57"/>
    </row>
    <row r="24" s="1" customFormat="1" ht="18" customHeight="1" spans="1:15">
      <c r="A24" s="39"/>
      <c r="B24" s="80">
        <f t="shared" si="3"/>
        <v>0</v>
      </c>
      <c r="C24" s="35"/>
      <c r="D24" s="36"/>
      <c r="E24" s="37"/>
      <c r="F24" s="80">
        <f t="shared" si="4"/>
        <v>0</v>
      </c>
      <c r="G24" s="73"/>
      <c r="H24" s="21" t="s">
        <v>44</v>
      </c>
      <c r="I24" s="11">
        <v>-100000</v>
      </c>
      <c r="J24" s="55"/>
      <c r="K24" s="56" t="s">
        <v>4</v>
      </c>
      <c r="L24" s="57"/>
      <c r="M24" s="58"/>
      <c r="N24" s="58"/>
      <c r="O24" s="57"/>
    </row>
    <row r="25" s="1" customFormat="1" ht="18" customHeight="1" spans="1:15">
      <c r="A25" s="39" t="s">
        <v>45</v>
      </c>
      <c r="B25" s="80">
        <f t="shared" si="3"/>
        <v>1200</v>
      </c>
      <c r="C25" s="35"/>
      <c r="D25" s="36" t="s">
        <v>37</v>
      </c>
      <c r="E25" s="37"/>
      <c r="F25" s="80">
        <f t="shared" si="4"/>
        <v>0</v>
      </c>
      <c r="G25" s="73">
        <v>1200</v>
      </c>
      <c r="H25" s="21"/>
      <c r="I25" s="11"/>
      <c r="J25" s="55"/>
      <c r="K25" s="56" t="s">
        <v>4</v>
      </c>
      <c r="L25" s="57" t="s">
        <v>46</v>
      </c>
      <c r="M25" s="58"/>
      <c r="N25" s="58"/>
      <c r="O25" s="57"/>
    </row>
    <row r="26" s="1" customFormat="1" ht="18" customHeight="1" spans="1:15">
      <c r="A26" s="39"/>
      <c r="B26" s="80">
        <f t="shared" si="3"/>
        <v>0</v>
      </c>
      <c r="C26" s="35"/>
      <c r="D26" s="36"/>
      <c r="E26" s="37"/>
      <c r="F26" s="80">
        <f t="shared" si="4"/>
        <v>0</v>
      </c>
      <c r="G26" s="73"/>
      <c r="H26" s="21" t="s">
        <v>47</v>
      </c>
      <c r="I26" s="11">
        <v>250000</v>
      </c>
      <c r="J26" s="55"/>
      <c r="K26" s="56" t="s">
        <v>43</v>
      </c>
      <c r="L26" s="57"/>
      <c r="M26" s="58"/>
      <c r="N26" s="58"/>
      <c r="O26" s="57"/>
    </row>
    <row r="27" s="1" customFormat="1" ht="18" customHeight="1" spans="1:15">
      <c r="A27" s="39"/>
      <c r="B27" s="80">
        <f t="shared" si="3"/>
        <v>0</v>
      </c>
      <c r="C27" s="35"/>
      <c r="D27" s="36"/>
      <c r="E27" s="37"/>
      <c r="F27" s="80">
        <f t="shared" si="4"/>
        <v>0</v>
      </c>
      <c r="G27" s="73"/>
      <c r="H27" s="21" t="s">
        <v>47</v>
      </c>
      <c r="I27" s="11">
        <v>-250000</v>
      </c>
      <c r="J27" s="55"/>
      <c r="K27" s="83" t="s">
        <v>4</v>
      </c>
      <c r="L27" s="57"/>
      <c r="M27" s="58"/>
      <c r="N27" s="58"/>
      <c r="O27" s="57"/>
    </row>
    <row r="28" s="1" customFormat="1" ht="18" customHeight="1" spans="1:15">
      <c r="A28" s="39">
        <v>43466</v>
      </c>
      <c r="B28" s="80">
        <f t="shared" si="3"/>
        <v>2320</v>
      </c>
      <c r="C28" s="35"/>
      <c r="D28" s="36" t="s">
        <v>37</v>
      </c>
      <c r="E28" s="37"/>
      <c r="F28" s="80">
        <f t="shared" si="4"/>
        <v>0</v>
      </c>
      <c r="G28" s="73">
        <v>2320</v>
      </c>
      <c r="H28" s="21" t="s">
        <v>47</v>
      </c>
      <c r="I28" s="11">
        <v>2320</v>
      </c>
      <c r="J28" s="55"/>
      <c r="K28" s="83" t="s">
        <v>48</v>
      </c>
      <c r="L28" s="57"/>
      <c r="M28" s="58"/>
      <c r="N28" s="58"/>
      <c r="O28" s="57"/>
    </row>
    <row r="29" s="1" customFormat="1" ht="18" customHeight="1" spans="1:15">
      <c r="A29" s="39"/>
      <c r="B29" s="80">
        <f t="shared" si="3"/>
        <v>0</v>
      </c>
      <c r="C29" s="35"/>
      <c r="D29" s="36"/>
      <c r="E29" s="37"/>
      <c r="F29" s="80">
        <f t="shared" si="4"/>
        <v>0</v>
      </c>
      <c r="G29" s="73"/>
      <c r="H29" s="21" t="s">
        <v>47</v>
      </c>
      <c r="I29" s="11">
        <v>-2320</v>
      </c>
      <c r="J29" s="55"/>
      <c r="K29" s="83" t="s">
        <v>4</v>
      </c>
      <c r="L29" s="57"/>
      <c r="M29" s="58"/>
      <c r="N29" s="58"/>
      <c r="O29" s="57"/>
    </row>
    <row r="30" s="1" customFormat="1" ht="18" customHeight="1" spans="1:15">
      <c r="A30" s="39">
        <v>43466</v>
      </c>
      <c r="B30" s="80">
        <f t="shared" si="3"/>
        <v>41844.83</v>
      </c>
      <c r="C30" s="35"/>
      <c r="D30" s="36" t="s">
        <v>40</v>
      </c>
      <c r="E30" s="37">
        <v>0.16</v>
      </c>
      <c r="F30" s="80">
        <f t="shared" si="4"/>
        <v>6695.17</v>
      </c>
      <c r="G30" s="73">
        <v>48540</v>
      </c>
      <c r="H30" s="21" t="s">
        <v>49</v>
      </c>
      <c r="I30" s="11">
        <v>48540</v>
      </c>
      <c r="J30" s="55"/>
      <c r="K30" s="83" t="s">
        <v>50</v>
      </c>
      <c r="L30" s="57"/>
      <c r="M30" s="58"/>
      <c r="N30" s="58"/>
      <c r="O30" s="57"/>
    </row>
    <row r="31" s="1" customFormat="1" ht="18" customHeight="1" spans="1:15">
      <c r="A31" s="39"/>
      <c r="B31" s="80">
        <f t="shared" si="3"/>
        <v>0</v>
      </c>
      <c r="C31" s="35"/>
      <c r="D31" s="36"/>
      <c r="E31" s="37"/>
      <c r="F31" s="80">
        <f t="shared" si="4"/>
        <v>0</v>
      </c>
      <c r="G31" s="73"/>
      <c r="H31" s="21" t="s">
        <v>49</v>
      </c>
      <c r="I31" s="11">
        <v>-48540</v>
      </c>
      <c r="J31" s="55"/>
      <c r="K31" s="83" t="s">
        <v>4</v>
      </c>
      <c r="L31" s="57"/>
      <c r="M31" s="58"/>
      <c r="N31" s="58"/>
      <c r="O31" s="57"/>
    </row>
    <row r="32" s="1" customFormat="1" ht="18" customHeight="1" spans="1:15">
      <c r="A32" s="39">
        <v>43466</v>
      </c>
      <c r="B32" s="80">
        <f t="shared" si="3"/>
        <v>550797.41</v>
      </c>
      <c r="C32" s="35"/>
      <c r="D32" s="36" t="s">
        <v>40</v>
      </c>
      <c r="E32" s="37">
        <v>0.16</v>
      </c>
      <c r="F32" s="80">
        <f t="shared" si="4"/>
        <v>88127.59</v>
      </c>
      <c r="G32" s="73">
        <f>78525+113085+102115+114455+115470+115275</f>
        <v>638925</v>
      </c>
      <c r="H32" s="21" t="s">
        <v>49</v>
      </c>
      <c r="I32" s="11">
        <v>88925</v>
      </c>
      <c r="J32" s="55"/>
      <c r="K32" s="83" t="s">
        <v>43</v>
      </c>
      <c r="L32" s="57"/>
      <c r="M32" s="58"/>
      <c r="N32" s="58"/>
      <c r="O32" s="57"/>
    </row>
    <row r="33" s="1" customFormat="1" ht="18" customHeight="1" spans="1:15">
      <c r="A33" s="39"/>
      <c r="B33" s="80">
        <f t="shared" si="3"/>
        <v>0</v>
      </c>
      <c r="C33" s="35"/>
      <c r="D33" s="36"/>
      <c r="E33" s="37"/>
      <c r="F33" s="80">
        <f t="shared" si="4"/>
        <v>0</v>
      </c>
      <c r="G33" s="73"/>
      <c r="H33" s="21" t="s">
        <v>49</v>
      </c>
      <c r="I33" s="84">
        <v>-88925</v>
      </c>
      <c r="J33" s="55"/>
      <c r="K33" s="83" t="s">
        <v>4</v>
      </c>
      <c r="L33" s="57"/>
      <c r="M33" s="58"/>
      <c r="N33" s="58"/>
      <c r="O33" s="57"/>
    </row>
    <row r="34" s="1" customFormat="1" ht="18" customHeight="1" spans="1:15">
      <c r="A34" s="39">
        <v>43466</v>
      </c>
      <c r="B34" s="80">
        <f t="shared" si="3"/>
        <v>97087.38</v>
      </c>
      <c r="C34" s="35"/>
      <c r="D34" s="36" t="s">
        <v>40</v>
      </c>
      <c r="E34" s="37">
        <v>0.03</v>
      </c>
      <c r="F34" s="80">
        <f t="shared" si="4"/>
        <v>2912.62</v>
      </c>
      <c r="G34" s="73">
        <v>100000</v>
      </c>
      <c r="H34" s="21">
        <v>43496</v>
      </c>
      <c r="I34" s="84">
        <v>100000</v>
      </c>
      <c r="J34" s="55" t="s">
        <v>21</v>
      </c>
      <c r="K34" s="83" t="s">
        <v>51</v>
      </c>
      <c r="L34" s="57" t="s">
        <v>52</v>
      </c>
      <c r="M34" s="58"/>
      <c r="N34" s="58"/>
      <c r="O34" s="57"/>
    </row>
    <row r="35" s="1" customFormat="1" ht="18" customHeight="1" spans="1:15">
      <c r="A35" s="39">
        <v>43466</v>
      </c>
      <c r="B35" s="80">
        <f t="shared" si="3"/>
        <v>129310.34</v>
      </c>
      <c r="C35" s="35"/>
      <c r="D35" s="36" t="s">
        <v>40</v>
      </c>
      <c r="E35" s="37">
        <v>0.16</v>
      </c>
      <c r="F35" s="80">
        <f t="shared" si="4"/>
        <v>20689.66</v>
      </c>
      <c r="G35" s="73">
        <v>150000</v>
      </c>
      <c r="H35" s="21">
        <v>43496</v>
      </c>
      <c r="I35" s="84">
        <v>150000</v>
      </c>
      <c r="J35" s="55" t="s">
        <v>21</v>
      </c>
      <c r="K35" s="83" t="s">
        <v>53</v>
      </c>
      <c r="L35" s="57" t="s">
        <v>54</v>
      </c>
      <c r="M35" s="58"/>
      <c r="N35" s="58"/>
      <c r="O35" s="57"/>
    </row>
    <row r="36" s="1" customFormat="1" ht="18" customHeight="1" spans="1:15">
      <c r="A36" s="39">
        <v>43466</v>
      </c>
      <c r="B36" s="80">
        <f t="shared" si="3"/>
        <v>194174.76</v>
      </c>
      <c r="C36" s="35"/>
      <c r="D36" s="36" t="s">
        <v>40</v>
      </c>
      <c r="E36" s="37">
        <v>0.03</v>
      </c>
      <c r="F36" s="80">
        <f t="shared" si="4"/>
        <v>5825.24</v>
      </c>
      <c r="G36" s="81">
        <v>200000</v>
      </c>
      <c r="H36" s="21">
        <v>43496</v>
      </c>
      <c r="I36" s="84">
        <v>200000</v>
      </c>
      <c r="J36" s="55" t="s">
        <v>21</v>
      </c>
      <c r="K36" s="83" t="s">
        <v>55</v>
      </c>
      <c r="L36" s="57" t="s">
        <v>56</v>
      </c>
      <c r="M36" s="58"/>
      <c r="N36" s="58"/>
      <c r="O36" s="57"/>
    </row>
    <row r="37" s="1" customFormat="1" ht="18" customHeight="1" spans="1:15">
      <c r="A37" s="39">
        <v>43466</v>
      </c>
      <c r="B37" s="80">
        <f t="shared" si="3"/>
        <v>22913.79</v>
      </c>
      <c r="C37" s="35"/>
      <c r="D37" s="36" t="s">
        <v>40</v>
      </c>
      <c r="E37" s="37">
        <v>0.16</v>
      </c>
      <c r="F37" s="80">
        <f t="shared" si="4"/>
        <v>3666.21</v>
      </c>
      <c r="G37" s="73">
        <v>26580</v>
      </c>
      <c r="H37" s="21">
        <v>43496</v>
      </c>
      <c r="I37" s="84">
        <v>26580</v>
      </c>
      <c r="J37" s="55" t="s">
        <v>21</v>
      </c>
      <c r="K37" s="85" t="s">
        <v>57</v>
      </c>
      <c r="L37" s="57" t="s">
        <v>58</v>
      </c>
      <c r="M37" s="58"/>
      <c r="N37" s="58"/>
      <c r="O37" s="57"/>
    </row>
    <row r="38" s="1" customFormat="1" ht="18" customHeight="1" spans="1:15">
      <c r="A38" s="39">
        <v>43466</v>
      </c>
      <c r="B38" s="80">
        <f t="shared" si="3"/>
        <v>388349.51</v>
      </c>
      <c r="C38" s="35"/>
      <c r="D38" s="36" t="s">
        <v>40</v>
      </c>
      <c r="E38" s="37">
        <v>0.03</v>
      </c>
      <c r="F38" s="80">
        <f t="shared" si="4"/>
        <v>11650.49</v>
      </c>
      <c r="G38" s="73">
        <v>400000</v>
      </c>
      <c r="H38" s="21">
        <v>43496</v>
      </c>
      <c r="I38" s="84">
        <v>400000</v>
      </c>
      <c r="J38" s="55" t="s">
        <v>21</v>
      </c>
      <c r="K38" s="85" t="s">
        <v>59</v>
      </c>
      <c r="L38" s="57" t="s">
        <v>60</v>
      </c>
      <c r="M38" s="58"/>
      <c r="N38" s="58"/>
      <c r="O38" s="57" t="s">
        <v>61</v>
      </c>
    </row>
    <row r="39" s="1" customFormat="1" ht="18" customHeight="1" spans="1:15">
      <c r="A39" s="39"/>
      <c r="B39" s="80">
        <f t="shared" si="3"/>
        <v>0</v>
      </c>
      <c r="C39" s="35"/>
      <c r="D39" s="36"/>
      <c r="E39" s="37"/>
      <c r="F39" s="80">
        <f t="shared" si="4"/>
        <v>0</v>
      </c>
      <c r="G39" s="73"/>
      <c r="H39" s="21">
        <v>43496</v>
      </c>
      <c r="I39" s="84">
        <v>26422</v>
      </c>
      <c r="J39" s="55" t="s">
        <v>62</v>
      </c>
      <c r="K39" s="86" t="s">
        <v>4</v>
      </c>
      <c r="L39" s="62" t="s">
        <v>63</v>
      </c>
      <c r="M39" s="58"/>
      <c r="N39" s="58"/>
      <c r="O39" s="57"/>
    </row>
    <row r="40" s="1" customFormat="1" ht="18" customHeight="1" spans="1:15">
      <c r="A40" s="39"/>
      <c r="B40" s="80">
        <f t="shared" si="3"/>
        <v>0</v>
      </c>
      <c r="C40" s="35"/>
      <c r="D40" s="36"/>
      <c r="E40" s="37"/>
      <c r="F40" s="80">
        <f t="shared" si="4"/>
        <v>0</v>
      </c>
      <c r="G40" s="73"/>
      <c r="H40" s="21">
        <v>43622</v>
      </c>
      <c r="I40" s="84">
        <v>364000</v>
      </c>
      <c r="J40" s="55" t="s">
        <v>62</v>
      </c>
      <c r="K40" s="86" t="s">
        <v>4</v>
      </c>
      <c r="L40" s="62" t="s">
        <v>63</v>
      </c>
      <c r="M40" s="58"/>
      <c r="N40" s="58"/>
      <c r="O40" s="57"/>
    </row>
    <row r="41" s="1" customFormat="1" ht="18" customHeight="1" spans="1:15">
      <c r="A41" s="39"/>
      <c r="B41" s="80">
        <f t="shared" si="3"/>
        <v>0</v>
      </c>
      <c r="C41" s="35"/>
      <c r="D41" s="36"/>
      <c r="E41" s="37"/>
      <c r="F41" s="80">
        <f t="shared" si="4"/>
        <v>0</v>
      </c>
      <c r="G41" s="73"/>
      <c r="H41" s="21">
        <v>43684</v>
      </c>
      <c r="I41" s="87">
        <v>73062</v>
      </c>
      <c r="J41" s="55" t="s">
        <v>21</v>
      </c>
      <c r="K41" s="86" t="s">
        <v>64</v>
      </c>
      <c r="L41" s="62" t="s">
        <v>65</v>
      </c>
      <c r="M41" s="58"/>
      <c r="N41" s="58"/>
      <c r="O41" s="57"/>
    </row>
    <row r="42" s="1" customFormat="1" ht="18" customHeight="1" spans="1:15">
      <c r="A42" s="39"/>
      <c r="B42" s="80">
        <f t="shared" si="3"/>
        <v>0</v>
      </c>
      <c r="C42" s="35"/>
      <c r="D42" s="36"/>
      <c r="E42" s="37"/>
      <c r="F42" s="80">
        <f t="shared" si="4"/>
        <v>0</v>
      </c>
      <c r="G42" s="73"/>
      <c r="H42" s="21">
        <v>43684</v>
      </c>
      <c r="I42" s="84">
        <v>-73062</v>
      </c>
      <c r="J42" s="55" t="s">
        <v>62</v>
      </c>
      <c r="K42" s="86" t="s">
        <v>4</v>
      </c>
      <c r="L42" s="57"/>
      <c r="M42" s="58"/>
      <c r="N42" s="58"/>
      <c r="O42" s="57"/>
    </row>
    <row r="43" s="1" customFormat="1" ht="18" customHeight="1" spans="1:15">
      <c r="A43" s="39">
        <v>43770</v>
      </c>
      <c r="B43" s="80">
        <f t="shared" si="3"/>
        <v>71840.71</v>
      </c>
      <c r="C43" s="35"/>
      <c r="D43" s="36" t="s">
        <v>40</v>
      </c>
      <c r="E43" s="40">
        <v>0.13</v>
      </c>
      <c r="F43" s="80">
        <f t="shared" si="4"/>
        <v>9339.29</v>
      </c>
      <c r="G43" s="73">
        <v>81180</v>
      </c>
      <c r="H43" s="21">
        <v>43693</v>
      </c>
      <c r="I43" s="84">
        <v>8118</v>
      </c>
      <c r="J43" s="55" t="s">
        <v>21</v>
      </c>
      <c r="K43" s="86" t="s">
        <v>64</v>
      </c>
      <c r="L43" s="62" t="s">
        <v>66</v>
      </c>
      <c r="M43" s="58"/>
      <c r="N43" s="58"/>
      <c r="O43" s="57"/>
    </row>
    <row r="44" s="1" customFormat="1" ht="18" customHeight="1" spans="1:15">
      <c r="A44" s="39"/>
      <c r="B44" s="80">
        <f t="shared" si="3"/>
        <v>0</v>
      </c>
      <c r="C44" s="35"/>
      <c r="D44" s="36"/>
      <c r="E44" s="37"/>
      <c r="F44" s="80">
        <f t="shared" si="4"/>
        <v>0</v>
      </c>
      <c r="G44" s="73"/>
      <c r="H44" s="21">
        <v>43693</v>
      </c>
      <c r="I44" s="84">
        <v>-8118</v>
      </c>
      <c r="J44" s="55" t="s">
        <v>62</v>
      </c>
      <c r="K44" s="86" t="s">
        <v>4</v>
      </c>
      <c r="L44" s="57"/>
      <c r="M44" s="58"/>
      <c r="N44" s="58"/>
      <c r="O44" s="57"/>
    </row>
    <row r="45" s="1" customFormat="1" ht="18" customHeight="1" spans="1:15">
      <c r="A45" s="39"/>
      <c r="B45" s="80">
        <f t="shared" si="3"/>
        <v>0</v>
      </c>
      <c r="C45" s="35"/>
      <c r="D45" s="36"/>
      <c r="E45" s="37"/>
      <c r="F45" s="80">
        <f t="shared" si="4"/>
        <v>0</v>
      </c>
      <c r="G45" s="73"/>
      <c r="H45" s="21">
        <v>43705</v>
      </c>
      <c r="I45" s="84">
        <v>290706</v>
      </c>
      <c r="J45" s="55" t="s">
        <v>62</v>
      </c>
      <c r="K45" s="86" t="s">
        <v>4</v>
      </c>
      <c r="L45" s="57"/>
      <c r="M45" s="58"/>
      <c r="N45" s="58"/>
      <c r="O45" s="57"/>
    </row>
    <row r="46" s="1" customFormat="1" ht="18" customHeight="1" spans="1:15">
      <c r="A46" s="39">
        <v>43831</v>
      </c>
      <c r="B46" s="11">
        <f t="shared" si="3"/>
        <v>349514.56</v>
      </c>
      <c r="C46" s="41"/>
      <c r="D46" s="36" t="s">
        <v>40</v>
      </c>
      <c r="E46" s="42">
        <v>0.03</v>
      </c>
      <c r="F46" s="11">
        <f t="shared" si="4"/>
        <v>10485.44</v>
      </c>
      <c r="G46" s="81">
        <f>360000</f>
        <v>360000</v>
      </c>
      <c r="H46" s="21">
        <v>43847</v>
      </c>
      <c r="I46" s="84">
        <v>360000</v>
      </c>
      <c r="J46" s="55" t="s">
        <v>21</v>
      </c>
      <c r="K46" s="86" t="s">
        <v>67</v>
      </c>
      <c r="L46" s="57" t="s">
        <v>68</v>
      </c>
      <c r="M46" s="58" t="s">
        <v>69</v>
      </c>
      <c r="N46" s="58"/>
      <c r="O46" s="57"/>
    </row>
    <row r="47" s="1" customFormat="1" ht="18" customHeight="1" spans="1:15">
      <c r="A47" s="39">
        <v>43831</v>
      </c>
      <c r="B47" s="11">
        <f t="shared" si="3"/>
        <v>5980.58</v>
      </c>
      <c r="C47" s="41"/>
      <c r="D47" s="36" t="s">
        <v>40</v>
      </c>
      <c r="E47" s="42">
        <v>0.03</v>
      </c>
      <c r="F47" s="11">
        <f t="shared" si="4"/>
        <v>179.42</v>
      </c>
      <c r="G47" s="81">
        <v>6160</v>
      </c>
      <c r="H47" s="21"/>
      <c r="I47" s="84"/>
      <c r="J47" s="55"/>
      <c r="K47" s="86" t="s">
        <v>70</v>
      </c>
      <c r="L47" s="57" t="s">
        <v>71</v>
      </c>
      <c r="M47" s="58"/>
      <c r="N47" s="58"/>
      <c r="O47" s="57"/>
    </row>
    <row r="48" s="1" customFormat="1" ht="18" customHeight="1" spans="1:15">
      <c r="A48" s="39">
        <v>43831</v>
      </c>
      <c r="B48" s="11">
        <f t="shared" si="3"/>
        <v>291262.14</v>
      </c>
      <c r="C48" s="41"/>
      <c r="D48" s="36" t="s">
        <v>40</v>
      </c>
      <c r="E48" s="42">
        <v>0.03</v>
      </c>
      <c r="F48" s="11">
        <f t="shared" si="4"/>
        <v>8737.86</v>
      </c>
      <c r="G48" s="81">
        <v>300000</v>
      </c>
      <c r="H48" s="21">
        <v>43847</v>
      </c>
      <c r="I48" s="84">
        <v>300000</v>
      </c>
      <c r="J48" s="55" t="s">
        <v>21</v>
      </c>
      <c r="K48" s="86" t="s">
        <v>51</v>
      </c>
      <c r="L48" s="57" t="s">
        <v>52</v>
      </c>
      <c r="M48" s="58" t="s">
        <v>69</v>
      </c>
      <c r="N48" s="58"/>
      <c r="O48" s="57"/>
    </row>
    <row r="49" s="1" customFormat="1" ht="18" customHeight="1" spans="1:15">
      <c r="A49" s="39">
        <v>43831</v>
      </c>
      <c r="B49" s="80">
        <f t="shared" si="3"/>
        <v>237045</v>
      </c>
      <c r="C49" s="35"/>
      <c r="D49" s="36" t="s">
        <v>72</v>
      </c>
      <c r="E49" s="37"/>
      <c r="F49" s="80">
        <f t="shared" si="4"/>
        <v>0</v>
      </c>
      <c r="G49" s="81">
        <f>42760+5800+90135+98350</f>
        <v>237045</v>
      </c>
      <c r="H49" s="21">
        <v>43847</v>
      </c>
      <c r="I49" s="84">
        <v>237045</v>
      </c>
      <c r="J49" s="55" t="s">
        <v>21</v>
      </c>
      <c r="K49" s="86" t="s">
        <v>73</v>
      </c>
      <c r="L49" s="57" t="s">
        <v>74</v>
      </c>
      <c r="M49" s="58"/>
      <c r="N49" s="58" t="s">
        <v>69</v>
      </c>
      <c r="O49" s="57"/>
    </row>
    <row r="50" s="1" customFormat="1" ht="18" customHeight="1" spans="1:15">
      <c r="A50" s="39">
        <v>43831</v>
      </c>
      <c r="B50" s="80">
        <f t="shared" si="3"/>
        <v>16170</v>
      </c>
      <c r="C50" s="35"/>
      <c r="D50" s="36" t="s">
        <v>72</v>
      </c>
      <c r="E50" s="37"/>
      <c r="F50" s="80">
        <f t="shared" si="4"/>
        <v>0</v>
      </c>
      <c r="G50" s="81">
        <v>16170</v>
      </c>
      <c r="H50" s="21"/>
      <c r="I50" s="84"/>
      <c r="J50" s="55"/>
      <c r="K50" s="85" t="s">
        <v>75</v>
      </c>
      <c r="L50" s="57" t="s">
        <v>76</v>
      </c>
      <c r="M50" s="58"/>
      <c r="N50" s="58" t="s">
        <v>77</v>
      </c>
      <c r="O50" s="57"/>
    </row>
    <row r="51" s="1" customFormat="1" ht="18" customHeight="1" spans="1:15">
      <c r="A51" s="39">
        <v>43831</v>
      </c>
      <c r="B51" s="80">
        <f t="shared" si="3"/>
        <v>49600</v>
      </c>
      <c r="C51" s="35"/>
      <c r="D51" s="36" t="s">
        <v>37</v>
      </c>
      <c r="E51" s="37"/>
      <c r="F51" s="80">
        <f t="shared" si="4"/>
        <v>0</v>
      </c>
      <c r="G51" s="81">
        <v>49600</v>
      </c>
      <c r="H51" s="21"/>
      <c r="I51" s="84"/>
      <c r="J51" s="55"/>
      <c r="K51" s="85" t="s">
        <v>78</v>
      </c>
      <c r="L51" s="57" t="s">
        <v>79</v>
      </c>
      <c r="M51" s="58"/>
      <c r="N51" s="58" t="s">
        <v>77</v>
      </c>
      <c r="O51" s="57"/>
    </row>
    <row r="52" s="1" customFormat="1" ht="18" customHeight="1" spans="1:15">
      <c r="A52" s="39"/>
      <c r="B52" s="80">
        <f t="shared" si="3"/>
        <v>0</v>
      </c>
      <c r="C52" s="35"/>
      <c r="D52" s="36"/>
      <c r="E52" s="37"/>
      <c r="F52" s="80">
        <f t="shared" si="4"/>
        <v>0</v>
      </c>
      <c r="G52" s="77"/>
      <c r="H52" s="21">
        <v>43847</v>
      </c>
      <c r="I52" s="84">
        <v>131653</v>
      </c>
      <c r="J52" s="55" t="s">
        <v>62</v>
      </c>
      <c r="K52" s="64" t="s">
        <v>4</v>
      </c>
      <c r="L52" s="64" t="s">
        <v>63</v>
      </c>
      <c r="M52" s="58"/>
      <c r="N52" s="58"/>
      <c r="O52" s="57"/>
    </row>
    <row r="53" s="1" customFormat="1" ht="18" customHeight="1" spans="1:15">
      <c r="A53" s="39">
        <v>43952</v>
      </c>
      <c r="B53" s="80">
        <f t="shared" si="3"/>
        <v>208640.78</v>
      </c>
      <c r="C53" s="35"/>
      <c r="D53" s="36" t="s">
        <v>80</v>
      </c>
      <c r="E53" s="40">
        <v>0.03</v>
      </c>
      <c r="F53" s="80">
        <f t="shared" si="4"/>
        <v>6259.22</v>
      </c>
      <c r="G53" s="81">
        <v>214900</v>
      </c>
      <c r="H53" s="21"/>
      <c r="I53" s="84"/>
      <c r="J53" s="55"/>
      <c r="K53" s="64" t="s">
        <v>67</v>
      </c>
      <c r="L53" s="64" t="s">
        <v>81</v>
      </c>
      <c r="M53" s="58" t="s">
        <v>82</v>
      </c>
      <c r="N53" s="58"/>
      <c r="O53" s="57"/>
    </row>
    <row r="54" s="1" customFormat="1" ht="18" customHeight="1" spans="1:15">
      <c r="A54" s="39"/>
      <c r="B54" s="80"/>
      <c r="C54" s="35"/>
      <c r="D54" s="36"/>
      <c r="E54" s="40"/>
      <c r="F54" s="80"/>
      <c r="G54" s="81"/>
      <c r="H54" s="82">
        <v>43965</v>
      </c>
      <c r="I54" s="88">
        <v>149400</v>
      </c>
      <c r="J54" s="58"/>
      <c r="K54" s="89" t="s">
        <v>67</v>
      </c>
      <c r="L54" s="89" t="s">
        <v>81</v>
      </c>
      <c r="M54" s="58"/>
      <c r="N54" s="58"/>
      <c r="O54" s="57"/>
    </row>
    <row r="55" s="1" customFormat="1" ht="18" customHeight="1" spans="1:15">
      <c r="A55" s="39"/>
      <c r="B55" s="80"/>
      <c r="C55" s="35"/>
      <c r="D55" s="36"/>
      <c r="E55" s="40"/>
      <c r="F55" s="80"/>
      <c r="G55" s="81"/>
      <c r="H55" s="82">
        <v>44125</v>
      </c>
      <c r="I55" s="88">
        <v>65500</v>
      </c>
      <c r="J55" s="58"/>
      <c r="K55" s="89" t="s">
        <v>67</v>
      </c>
      <c r="L55" s="89" t="s">
        <v>60</v>
      </c>
      <c r="M55" s="58"/>
      <c r="N55" s="58"/>
      <c r="O55" s="57"/>
    </row>
    <row r="56" s="1" customFormat="1" ht="18" customHeight="1" spans="1:15">
      <c r="A56" s="39"/>
      <c r="B56" s="80"/>
      <c r="C56" s="35"/>
      <c r="D56" s="36"/>
      <c r="E56" s="40"/>
      <c r="F56" s="80"/>
      <c r="G56" s="81"/>
      <c r="H56" s="82">
        <v>44125</v>
      </c>
      <c r="I56" s="88">
        <v>34467</v>
      </c>
      <c r="J56" s="58"/>
      <c r="K56" s="89" t="s">
        <v>78</v>
      </c>
      <c r="L56" s="89" t="s">
        <v>54</v>
      </c>
      <c r="M56" s="58"/>
      <c r="N56" s="58"/>
      <c r="O56" s="57"/>
    </row>
    <row r="57" s="1" customFormat="1" ht="18" customHeight="1" spans="1:15">
      <c r="A57" s="39"/>
      <c r="B57" s="80"/>
      <c r="C57" s="35"/>
      <c r="D57" s="36"/>
      <c r="E57" s="40"/>
      <c r="F57" s="80"/>
      <c r="G57" s="81"/>
      <c r="H57" s="82"/>
      <c r="I57" s="88"/>
      <c r="J57" s="58"/>
      <c r="K57" s="89"/>
      <c r="L57" s="89"/>
      <c r="M57" s="58"/>
      <c r="N57" s="58"/>
      <c r="O57" s="57"/>
    </row>
    <row r="58" s="1" customFormat="1" ht="18" customHeight="1" spans="1:15">
      <c r="A58" s="39"/>
      <c r="B58" s="80"/>
      <c r="C58" s="35"/>
      <c r="D58" s="36"/>
      <c r="E58" s="40"/>
      <c r="F58" s="80"/>
      <c r="G58" s="81"/>
      <c r="H58" s="82"/>
      <c r="I58" s="88"/>
      <c r="J58" s="58"/>
      <c r="K58" s="89"/>
      <c r="L58" s="89"/>
      <c r="M58" s="58"/>
      <c r="N58" s="58"/>
      <c r="O58" s="57"/>
    </row>
    <row r="59" s="1" customFormat="1" ht="18" customHeight="1" spans="1:15">
      <c r="A59" s="39"/>
      <c r="B59" s="80"/>
      <c r="C59" s="35"/>
      <c r="D59" s="36"/>
      <c r="E59" s="40"/>
      <c r="F59" s="80"/>
      <c r="G59" s="81"/>
      <c r="H59" s="82"/>
      <c r="I59" s="88"/>
      <c r="J59" s="58"/>
      <c r="K59" s="89"/>
      <c r="L59" s="89"/>
      <c r="M59" s="58"/>
      <c r="N59" s="58"/>
      <c r="O59" s="57"/>
    </row>
    <row r="60" s="1" customFormat="1" ht="18" customHeight="1" spans="1:15">
      <c r="A60" s="39"/>
      <c r="B60" s="80"/>
      <c r="C60" s="35"/>
      <c r="D60" s="36"/>
      <c r="E60" s="40"/>
      <c r="F60" s="80"/>
      <c r="G60" s="81"/>
      <c r="H60" s="82"/>
      <c r="I60" s="80"/>
      <c r="J60" s="58"/>
      <c r="K60" s="89"/>
      <c r="L60" s="89"/>
      <c r="M60" s="58"/>
      <c r="N60" s="58"/>
      <c r="O60" s="57"/>
    </row>
    <row r="61" s="1" customFormat="1" ht="18" customHeight="1" spans="1:15">
      <c r="A61" s="39"/>
      <c r="B61" s="80"/>
      <c r="C61" s="35"/>
      <c r="D61" s="36"/>
      <c r="E61" s="40"/>
      <c r="F61" s="80"/>
      <c r="G61" s="81"/>
      <c r="H61" s="82" t="s">
        <v>83</v>
      </c>
      <c r="I61" s="80">
        <v>100</v>
      </c>
      <c r="J61" s="58" t="s">
        <v>84</v>
      </c>
      <c r="K61" s="85" t="s">
        <v>85</v>
      </c>
      <c r="L61" s="89"/>
      <c r="M61" s="58"/>
      <c r="N61" s="58"/>
      <c r="O61" s="57"/>
    </row>
    <row r="62" s="1" customFormat="1" ht="18" customHeight="1" spans="1:15">
      <c r="A62" s="39"/>
      <c r="B62" s="80">
        <f t="shared" ref="B62:B73" si="5">ROUND(G62/(1+E62),2)</f>
        <v>0</v>
      </c>
      <c r="C62" s="35"/>
      <c r="D62" s="36"/>
      <c r="E62" s="37"/>
      <c r="F62" s="80">
        <f t="shared" ref="F62:F73" si="6">ROUND(G62/(1+E62)*E62,2)</f>
        <v>0</v>
      </c>
      <c r="G62" s="77"/>
      <c r="H62" s="82" t="s">
        <v>86</v>
      </c>
      <c r="I62" s="80">
        <v>100</v>
      </c>
      <c r="J62" s="58" t="s">
        <v>84</v>
      </c>
      <c r="K62" s="85" t="s">
        <v>85</v>
      </c>
      <c r="L62" s="90"/>
      <c r="M62" s="58"/>
      <c r="N62" s="58"/>
      <c r="O62" s="57"/>
    </row>
    <row r="63" s="1" customFormat="1" ht="18" customHeight="1" spans="1:15">
      <c r="A63" s="39"/>
      <c r="B63" s="80">
        <f t="shared" si="5"/>
        <v>0</v>
      </c>
      <c r="C63" s="35"/>
      <c r="D63" s="36"/>
      <c r="E63" s="37"/>
      <c r="F63" s="80">
        <f t="shared" si="6"/>
        <v>0</v>
      </c>
      <c r="G63" s="77"/>
      <c r="H63" s="82" t="s">
        <v>86</v>
      </c>
      <c r="I63" s="80">
        <v>500</v>
      </c>
      <c r="J63" s="58" t="s">
        <v>84</v>
      </c>
      <c r="K63" s="85" t="s">
        <v>87</v>
      </c>
      <c r="L63" s="89"/>
      <c r="M63" s="58"/>
      <c r="N63" s="58"/>
      <c r="O63" s="57"/>
    </row>
    <row r="64" s="1" customFormat="1" ht="18" customHeight="1" spans="1:15">
      <c r="A64" s="39"/>
      <c r="B64" s="80">
        <f t="shared" si="5"/>
        <v>0</v>
      </c>
      <c r="C64" s="35"/>
      <c r="D64" s="36"/>
      <c r="E64" s="37"/>
      <c r="F64" s="80">
        <f t="shared" si="6"/>
        <v>0</v>
      </c>
      <c r="G64" s="77"/>
      <c r="H64" s="21" t="s">
        <v>88</v>
      </c>
      <c r="I64" s="11">
        <v>400</v>
      </c>
      <c r="J64" s="55" t="s">
        <v>84</v>
      </c>
      <c r="K64" s="59" t="s">
        <v>85</v>
      </c>
      <c r="L64" s="57"/>
      <c r="M64" s="58"/>
      <c r="N64" s="58"/>
      <c r="O64" s="57"/>
    </row>
    <row r="65" s="1" customFormat="1" ht="18" customHeight="1" spans="1:15">
      <c r="A65" s="39"/>
      <c r="B65" s="80">
        <f t="shared" si="5"/>
        <v>0</v>
      </c>
      <c r="C65" s="35"/>
      <c r="D65" s="36"/>
      <c r="E65" s="37"/>
      <c r="F65" s="80">
        <f t="shared" si="6"/>
        <v>0</v>
      </c>
      <c r="G65" s="77"/>
      <c r="H65" s="21" t="s">
        <v>88</v>
      </c>
      <c r="I65" s="11">
        <v>500</v>
      </c>
      <c r="J65" s="55" t="s">
        <v>84</v>
      </c>
      <c r="K65" s="59" t="s">
        <v>89</v>
      </c>
      <c r="L65" s="57"/>
      <c r="M65" s="58"/>
      <c r="N65" s="58"/>
      <c r="O65" s="57"/>
    </row>
    <row r="66" s="1" customFormat="1" ht="18" customHeight="1" spans="1:15">
      <c r="A66" s="39"/>
      <c r="B66" s="80">
        <f t="shared" si="5"/>
        <v>0</v>
      </c>
      <c r="C66" s="35"/>
      <c r="D66" s="36"/>
      <c r="E66" s="37"/>
      <c r="F66" s="80">
        <f t="shared" si="6"/>
        <v>0</v>
      </c>
      <c r="G66" s="77"/>
      <c r="H66" s="21" t="s">
        <v>88</v>
      </c>
      <c r="I66" s="11">
        <v>19040</v>
      </c>
      <c r="J66" s="55" t="s">
        <v>84</v>
      </c>
      <c r="K66" s="59" t="s">
        <v>90</v>
      </c>
      <c r="L66" s="57"/>
      <c r="M66" s="58"/>
      <c r="N66" s="58"/>
      <c r="O66" s="57"/>
    </row>
    <row r="67" s="1" customFormat="1" ht="18" customHeight="1" spans="1:15">
      <c r="A67" s="39"/>
      <c r="B67" s="80">
        <f t="shared" si="5"/>
        <v>0</v>
      </c>
      <c r="C67" s="35"/>
      <c r="D67" s="36"/>
      <c r="E67" s="37"/>
      <c r="F67" s="80">
        <f t="shared" si="6"/>
        <v>0</v>
      </c>
      <c r="G67" s="73"/>
      <c r="H67" s="21" t="s">
        <v>88</v>
      </c>
      <c r="I67" s="11">
        <v>656</v>
      </c>
      <c r="J67" s="55" t="s">
        <v>84</v>
      </c>
      <c r="K67" s="59" t="s">
        <v>91</v>
      </c>
      <c r="L67" s="57"/>
      <c r="M67" s="58"/>
      <c r="N67" s="58"/>
      <c r="O67" s="57"/>
    </row>
    <row r="68" s="1" customFormat="1" ht="18" customHeight="1" spans="1:15">
      <c r="A68" s="39"/>
      <c r="B68" s="80">
        <f t="shared" si="5"/>
        <v>0</v>
      </c>
      <c r="C68" s="35"/>
      <c r="D68" s="36"/>
      <c r="E68" s="37"/>
      <c r="F68" s="80">
        <f t="shared" si="6"/>
        <v>0</v>
      </c>
      <c r="G68" s="73"/>
      <c r="H68" s="21"/>
      <c r="I68" s="11">
        <v>24204</v>
      </c>
      <c r="J68" s="55" t="s">
        <v>84</v>
      </c>
      <c r="K68" s="59" t="s">
        <v>90</v>
      </c>
      <c r="L68" s="57"/>
      <c r="M68" s="58"/>
      <c r="N68" s="58"/>
      <c r="O68" s="57"/>
    </row>
    <row r="69" s="1" customFormat="1" ht="18" customHeight="1" spans="1:15">
      <c r="A69" s="39"/>
      <c r="B69" s="80">
        <f t="shared" si="5"/>
        <v>0</v>
      </c>
      <c r="C69" s="35"/>
      <c r="D69" s="36"/>
      <c r="E69" s="37"/>
      <c r="F69" s="80">
        <f t="shared" si="6"/>
        <v>0</v>
      </c>
      <c r="G69" s="73"/>
      <c r="H69" s="21"/>
      <c r="I69" s="11">
        <v>908</v>
      </c>
      <c r="J69" s="55" t="s">
        <v>84</v>
      </c>
      <c r="K69" s="59" t="s">
        <v>91</v>
      </c>
      <c r="L69" s="57"/>
      <c r="M69" s="58"/>
      <c r="N69" s="58"/>
      <c r="O69" s="57"/>
    </row>
    <row r="70" s="1" customFormat="1" ht="18" customHeight="1" spans="1:15">
      <c r="A70" s="39"/>
      <c r="B70" s="80">
        <f t="shared" si="5"/>
        <v>0</v>
      </c>
      <c r="C70" s="35"/>
      <c r="D70" s="36"/>
      <c r="E70" s="37"/>
      <c r="F70" s="80">
        <f t="shared" si="6"/>
        <v>0</v>
      </c>
      <c r="G70" s="73"/>
      <c r="H70" s="21"/>
      <c r="I70" s="11">
        <v>500</v>
      </c>
      <c r="J70" s="55" t="s">
        <v>84</v>
      </c>
      <c r="K70" s="59" t="s">
        <v>89</v>
      </c>
      <c r="L70" s="57"/>
      <c r="M70" s="58"/>
      <c r="N70" s="58"/>
      <c r="O70" s="57"/>
    </row>
    <row r="71" s="1" customFormat="1" ht="18" customHeight="1" spans="1:15">
      <c r="A71" s="39"/>
      <c r="B71" s="80">
        <f t="shared" si="5"/>
        <v>71386</v>
      </c>
      <c r="C71" s="35"/>
      <c r="D71" s="36"/>
      <c r="E71" s="37"/>
      <c r="F71" s="80">
        <f t="shared" si="6"/>
        <v>0</v>
      </c>
      <c r="G71" s="73">
        <v>71386</v>
      </c>
      <c r="H71" s="21"/>
      <c r="I71" s="11">
        <f>G71</f>
        <v>71386</v>
      </c>
      <c r="J71" s="55" t="s">
        <v>84</v>
      </c>
      <c r="K71" s="59" t="s">
        <v>92</v>
      </c>
      <c r="L71" s="57"/>
      <c r="M71" s="58"/>
      <c r="N71" s="58"/>
      <c r="O71" s="57"/>
    </row>
    <row r="72" ht="18" customHeight="1" spans="1:15">
      <c r="A72" s="29" t="s">
        <v>23</v>
      </c>
      <c r="B72" s="78">
        <f>SUM(B17:B71)</f>
        <v>2771516.95</v>
      </c>
      <c r="C72" s="29"/>
      <c r="D72" s="44"/>
      <c r="E72" s="44"/>
      <c r="F72" s="79">
        <f>SUM(F17:F71)</f>
        <v>175502.96</v>
      </c>
      <c r="G72" s="91">
        <f>SUM(G17:G71)</f>
        <v>2947019.91</v>
      </c>
      <c r="H72" s="46"/>
      <c r="I72" s="29">
        <f>SUM(I17:I71)</f>
        <v>2954067</v>
      </c>
      <c r="J72" s="65"/>
      <c r="K72" s="44"/>
      <c r="L72" s="32"/>
      <c r="M72" s="55"/>
      <c r="N72" s="55"/>
      <c r="O72" s="32"/>
    </row>
    <row r="73" ht="18" customHeight="1" spans="1:14">
      <c r="A73" s="47" t="s">
        <v>93</v>
      </c>
      <c r="B73" s="47">
        <f>B14*0.936</f>
        <v>2588757.65204337</v>
      </c>
      <c r="C73" s="47"/>
      <c r="D73" s="49"/>
      <c r="E73" s="49"/>
      <c r="F73" s="48"/>
      <c r="G73" s="47">
        <f>G14-G72</f>
        <v>82793.0899999999</v>
      </c>
      <c r="H73" s="20" t="s">
        <v>94</v>
      </c>
      <c r="I73" s="29">
        <f>I14-I72</f>
        <v>0</v>
      </c>
      <c r="J73" s="6"/>
      <c r="K73" s="66"/>
      <c r="M73" s="67"/>
      <c r="N73" s="67"/>
    </row>
    <row r="74" ht="18" customHeight="1" spans="1:14">
      <c r="A74" s="47" t="s">
        <v>95</v>
      </c>
      <c r="B74" s="47">
        <f>B73-B72</f>
        <v>-182759.29795663</v>
      </c>
      <c r="C74" s="47"/>
      <c r="D74" s="49"/>
      <c r="E74" s="49"/>
      <c r="F74" s="48"/>
      <c r="G74" s="48">
        <f>G72-2930849.91</f>
        <v>16170</v>
      </c>
      <c r="H74" s="68"/>
      <c r="I74" s="48"/>
      <c r="J74" s="6"/>
      <c r="K74" s="66"/>
      <c r="M74" s="67"/>
      <c r="N74" s="67"/>
    </row>
    <row r="75" ht="18" customHeight="1" spans="1:3">
      <c r="A75" s="2" t="s">
        <v>96</v>
      </c>
      <c r="C75" s="2"/>
    </row>
    <row r="76" ht="18" customHeight="1" spans="1:11">
      <c r="A76" s="20" t="s">
        <v>97</v>
      </c>
      <c r="B76" s="19" t="s">
        <v>98</v>
      </c>
      <c r="C76" s="32"/>
      <c r="D76" s="20" t="s">
        <v>97</v>
      </c>
      <c r="E76" s="18" t="s">
        <v>16</v>
      </c>
      <c r="F76" s="19" t="s">
        <v>98</v>
      </c>
      <c r="G76" s="19" t="s">
        <v>99</v>
      </c>
      <c r="I76" s="19" t="s">
        <v>100</v>
      </c>
      <c r="K76" s="46" t="s">
        <v>101</v>
      </c>
    </row>
    <row r="77" ht="18" customHeight="1" spans="1:11">
      <c r="A77" s="32" t="s">
        <v>102</v>
      </c>
      <c r="B77" s="16">
        <f>(B73-B72)*0.25</f>
        <v>-45689.8244891575</v>
      </c>
      <c r="C77" s="32"/>
      <c r="D77" s="27" t="s">
        <v>103</v>
      </c>
      <c r="E77" s="20" t="s">
        <v>104</v>
      </c>
      <c r="F77" s="79">
        <f>F14-F72</f>
        <v>33227.9832860717</v>
      </c>
      <c r="G77" s="79">
        <v>0</v>
      </c>
      <c r="I77" s="79">
        <v>0</v>
      </c>
      <c r="K77" s="79">
        <v>0</v>
      </c>
    </row>
    <row r="78" ht="18" customHeight="1" spans="1:11">
      <c r="A78" s="32" t="s">
        <v>105</v>
      </c>
      <c r="B78" s="69" t="s">
        <v>106</v>
      </c>
      <c r="C78" s="32"/>
      <c r="D78" s="70" t="s">
        <v>107</v>
      </c>
      <c r="E78" s="13">
        <v>0.07</v>
      </c>
      <c r="F78" s="11">
        <f>F77*E78</f>
        <v>2325.95883002502</v>
      </c>
      <c r="G78" s="11">
        <v>0</v>
      </c>
      <c r="I78" s="11">
        <v>0</v>
      </c>
      <c r="K78" s="11">
        <f>K77*0.07</f>
        <v>0</v>
      </c>
    </row>
    <row r="79" ht="18" customHeight="1" spans="1:11">
      <c r="A79" s="32" t="s">
        <v>91</v>
      </c>
      <c r="B79" s="69" t="s">
        <v>108</v>
      </c>
      <c r="C79" s="32"/>
      <c r="D79" s="70" t="s">
        <v>109</v>
      </c>
      <c r="E79" s="13">
        <v>0.03</v>
      </c>
      <c r="F79" s="11">
        <f>F77*E79</f>
        <v>996.839498582151</v>
      </c>
      <c r="G79" s="11">
        <v>0</v>
      </c>
      <c r="I79" s="11">
        <v>0</v>
      </c>
      <c r="K79" s="11">
        <f>K77*E79</f>
        <v>0</v>
      </c>
    </row>
    <row r="80" ht="18" customHeight="1" spans="1:11">
      <c r="A80" s="32"/>
      <c r="B80" s="22"/>
      <c r="C80" s="32"/>
      <c r="D80" s="70" t="s">
        <v>110</v>
      </c>
      <c r="E80" s="13">
        <v>0.02</v>
      </c>
      <c r="F80" s="11">
        <f>F77*E80</f>
        <v>664.559665721434</v>
      </c>
      <c r="G80" s="11">
        <v>0</v>
      </c>
      <c r="I80" s="11">
        <v>0</v>
      </c>
      <c r="K80" s="11">
        <f>K77*E80</f>
        <v>0</v>
      </c>
    </row>
    <row r="81" ht="18" customHeight="1" spans="1:11">
      <c r="A81" s="27" t="s">
        <v>111</v>
      </c>
      <c r="B81" s="28">
        <f>SUM(B77:B80)</f>
        <v>-45689.8244891575</v>
      </c>
      <c r="C81" s="32"/>
      <c r="D81" s="33" t="s">
        <v>111</v>
      </c>
      <c r="E81" s="27"/>
      <c r="F81" s="79">
        <f>SUM(F77:F80)</f>
        <v>37215.3412804003</v>
      </c>
      <c r="G81" s="79">
        <v>0</v>
      </c>
      <c r="H81" s="4"/>
      <c r="I81" s="79">
        <v>0</v>
      </c>
      <c r="K81" s="79">
        <f>SUM(K77:K80)</f>
        <v>0</v>
      </c>
    </row>
    <row r="82" ht="18" customHeight="1" spans="3:11">
      <c r="C82" s="2"/>
      <c r="D82" s="11" t="s">
        <v>91</v>
      </c>
      <c r="E82" s="56">
        <v>0.0006</v>
      </c>
      <c r="F82" s="11">
        <f>B14*E82</f>
        <v>1659.46003336113</v>
      </c>
      <c r="G82" s="11">
        <f>B7*E82</f>
        <v>907.636363636364</v>
      </c>
      <c r="I82" s="11">
        <f>B8*E82</f>
        <v>655.045871559633</v>
      </c>
      <c r="K82" s="11">
        <f>B9*E82</f>
        <v>55.082752293578</v>
      </c>
    </row>
    <row r="83" ht="18" customHeight="1" spans="3:11">
      <c r="C83" s="2"/>
      <c r="D83" s="18" t="s">
        <v>111</v>
      </c>
      <c r="E83" s="44"/>
      <c r="F83" s="29">
        <f t="shared" ref="F83:I83" si="7">F82</f>
        <v>1659.46003336113</v>
      </c>
      <c r="G83" s="29">
        <f t="shared" si="7"/>
        <v>907.636363636364</v>
      </c>
      <c r="I83" s="29">
        <f t="shared" si="7"/>
        <v>655.045871559633</v>
      </c>
      <c r="K83" s="29">
        <f>K82</f>
        <v>55.082752293578</v>
      </c>
    </row>
    <row r="84" ht="18" customHeight="1" spans="3:11">
      <c r="C84" s="2"/>
      <c r="D84" s="18" t="s">
        <v>23</v>
      </c>
      <c r="E84" s="29"/>
      <c r="F84" s="29">
        <f t="shared" ref="F84:I84" si="8">F81+F83</f>
        <v>38874.8013137614</v>
      </c>
      <c r="G84" s="29">
        <f t="shared" si="8"/>
        <v>907.636363636364</v>
      </c>
      <c r="I84" s="29">
        <f t="shared" si="8"/>
        <v>655.045871559633</v>
      </c>
      <c r="K84" s="29">
        <f>K81+K83</f>
        <v>55.082752293578</v>
      </c>
    </row>
    <row r="85" ht="18" customHeight="1" spans="3:11">
      <c r="C85" s="2"/>
      <c r="D85" s="29" t="s">
        <v>102</v>
      </c>
      <c r="E85" s="44">
        <v>0.016</v>
      </c>
      <c r="F85" s="29">
        <f>B14*E85</f>
        <v>44252.2675562969</v>
      </c>
      <c r="G85" s="29">
        <f>B7*E85</f>
        <v>24203.6363636364</v>
      </c>
      <c r="I85" s="29">
        <f>G8*E85</f>
        <v>19040</v>
      </c>
      <c r="K85" s="29">
        <f>G9*E85</f>
        <v>1601.072</v>
      </c>
    </row>
    <row r="86" ht="18" customHeight="1" spans="3:6">
      <c r="C86" s="2"/>
      <c r="E86" s="4" t="s">
        <v>112</v>
      </c>
      <c r="F86" s="3">
        <f>G14*E85</f>
        <v>48477.008</v>
      </c>
    </row>
    <row r="87" ht="18" customHeight="1" spans="3:6">
      <c r="C87" s="2"/>
      <c r="E87" s="4" t="s">
        <v>113</v>
      </c>
      <c r="F87" s="3">
        <f>I68+I66</f>
        <v>43244</v>
      </c>
    </row>
    <row r="88" ht="18" customHeight="1" spans="3:6">
      <c r="C88" s="2"/>
      <c r="E88" s="4" t="s">
        <v>104</v>
      </c>
      <c r="F88" s="3">
        <f>F86-F87</f>
        <v>5233.008</v>
      </c>
    </row>
    <row r="89" spans="3:6">
      <c r="C89" s="2"/>
      <c r="E89" s="4" t="s">
        <v>114</v>
      </c>
      <c r="F89" s="3">
        <f>F81</f>
        <v>37215.3412804003</v>
      </c>
    </row>
    <row r="90" spans="3:6">
      <c r="C90" s="2"/>
      <c r="E90" s="4" t="s">
        <v>106</v>
      </c>
      <c r="F90" s="3">
        <v>41289.33</v>
      </c>
    </row>
    <row r="91" spans="3:6">
      <c r="C91" s="2"/>
      <c r="E91" s="4" t="s">
        <v>104</v>
      </c>
      <c r="F91" s="3">
        <f>F89-F90</f>
        <v>-4073.98871959969</v>
      </c>
    </row>
    <row r="92" spans="3:3">
      <c r="C92" s="2"/>
    </row>
    <row r="93" spans="3:3">
      <c r="C93" s="2"/>
    </row>
    <row r="94" spans="3:3">
      <c r="C94" s="2"/>
    </row>
    <row r="95" spans="3:3">
      <c r="C95" s="2"/>
    </row>
    <row r="96" spans="3:3">
      <c r="C96" s="2"/>
    </row>
    <row r="97" spans="3:3">
      <c r="C97" s="2"/>
    </row>
    <row r="98" spans="3:3">
      <c r="C98" s="2"/>
    </row>
    <row r="99" spans="3:3">
      <c r="C99" s="2"/>
    </row>
    <row r="100" spans="3:3">
      <c r="C100" s="2"/>
    </row>
    <row r="101" spans="3:3">
      <c r="C101" s="2"/>
    </row>
    <row r="102" spans="3:3">
      <c r="C102" s="2"/>
    </row>
    <row r="103" spans="3:3">
      <c r="C103" s="2"/>
    </row>
    <row r="104" spans="3:3">
      <c r="C104" s="2"/>
    </row>
  </sheetData>
  <protectedRanges>
    <protectedRange sqref="K39:L40 K42 K44:K45" name="区域1_20"/>
    <protectedRange sqref="K41:L41 K43:L43" name="区域1"/>
    <protectedRange sqref="I41" name="区域1_1"/>
    <protectedRange sqref="L63 L62 K52:L53 K54:L54 K60:L60 L61" name="区域1_2"/>
  </protectedRanges>
  <autoFilter ref="A16:O9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5"/>
  <sheetViews>
    <sheetView topLeftCell="A55" workbookViewId="0">
      <selection activeCell="B92" sqref="B92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115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43168</v>
      </c>
      <c r="C2" s="11" t="s">
        <v>2</v>
      </c>
      <c r="D2" s="12">
        <v>3569284</v>
      </c>
      <c r="E2" s="13" t="s">
        <v>3</v>
      </c>
      <c r="F2" s="11" t="s">
        <v>4</v>
      </c>
      <c r="G2" s="14" t="s">
        <v>5</v>
      </c>
      <c r="H2" s="15" t="s">
        <v>6</v>
      </c>
      <c r="I2" s="50"/>
      <c r="J2" s="51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/>
      <c r="H3" s="17"/>
      <c r="I3" s="52"/>
      <c r="J3" s="17"/>
      <c r="K3" s="17"/>
      <c r="L3" s="17"/>
    </row>
    <row r="4" ht="18" customHeight="1" spans="1:12">
      <c r="A4" s="2" t="s">
        <v>9</v>
      </c>
      <c r="H4" s="17"/>
      <c r="I4" s="52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43481</v>
      </c>
      <c r="B7" s="22">
        <f t="shared" ref="B7:B9" si="0">G7/(1+C7+E7)</f>
        <v>1512727.27272727</v>
      </c>
      <c r="C7" s="23">
        <v>0.02</v>
      </c>
      <c r="D7" s="24">
        <f t="shared" ref="D7:D9" si="1">G7/(1+E7+C7)*C7</f>
        <v>30254.5454545455</v>
      </c>
      <c r="E7" s="23">
        <v>0.08</v>
      </c>
      <c r="F7" s="22">
        <f t="shared" ref="F7:F9" si="2">G7/(1+C7+E7)*E7</f>
        <v>121018.181818182</v>
      </c>
      <c r="G7" s="25">
        <v>1664000</v>
      </c>
      <c r="H7" s="21">
        <v>43494</v>
      </c>
      <c r="I7" s="22">
        <v>1000000</v>
      </c>
      <c r="J7" s="53" t="s">
        <v>21</v>
      </c>
    </row>
    <row r="8" ht="18" customHeight="1" spans="1:10">
      <c r="A8" s="21">
        <v>43837</v>
      </c>
      <c r="B8" s="22">
        <f t="shared" si="0"/>
        <v>1091743.11926606</v>
      </c>
      <c r="C8" s="23">
        <v>0.02</v>
      </c>
      <c r="D8" s="24">
        <f t="shared" si="1"/>
        <v>21834.8623853211</v>
      </c>
      <c r="E8" s="26">
        <v>0.07</v>
      </c>
      <c r="F8" s="22">
        <f t="shared" si="2"/>
        <v>76422.0183486239</v>
      </c>
      <c r="G8" s="25">
        <v>1190000</v>
      </c>
      <c r="H8" s="21">
        <v>43621</v>
      </c>
      <c r="I8" s="22">
        <v>364000</v>
      </c>
      <c r="J8" s="53" t="s">
        <v>21</v>
      </c>
    </row>
    <row r="9" ht="18" customHeight="1" spans="1:10">
      <c r="A9" s="21"/>
      <c r="B9" s="22">
        <f t="shared" si="0"/>
        <v>0</v>
      </c>
      <c r="C9" s="23">
        <v>0.02</v>
      </c>
      <c r="D9" s="24">
        <f t="shared" si="1"/>
        <v>0</v>
      </c>
      <c r="E9" s="26">
        <v>0.07</v>
      </c>
      <c r="F9" s="22">
        <f t="shared" si="2"/>
        <v>0</v>
      </c>
      <c r="G9" s="25"/>
      <c r="H9" s="21">
        <v>43703</v>
      </c>
      <c r="I9" s="22">
        <v>300000</v>
      </c>
      <c r="J9" s="53" t="s">
        <v>21</v>
      </c>
    </row>
    <row r="10" ht="18" customHeight="1" spans="1:10">
      <c r="A10" s="21"/>
      <c r="B10" s="22"/>
      <c r="C10" s="23"/>
      <c r="D10" s="24"/>
      <c r="E10" s="26"/>
      <c r="F10" s="22"/>
      <c r="G10" s="25"/>
      <c r="H10" s="21">
        <v>43840</v>
      </c>
      <c r="I10" s="22">
        <v>1040000</v>
      </c>
      <c r="J10" s="53" t="s">
        <v>21</v>
      </c>
    </row>
    <row r="11" ht="18" customHeight="1" spans="1:10">
      <c r="A11" s="27" t="s">
        <v>23</v>
      </c>
      <c r="B11" s="28">
        <f t="shared" ref="B11:G11" si="3">SUM(B7:B9)</f>
        <v>2604470.39199333</v>
      </c>
      <c r="C11" s="29"/>
      <c r="D11" s="30">
        <f t="shared" si="3"/>
        <v>52089.4078398666</v>
      </c>
      <c r="E11" s="29"/>
      <c r="F11" s="31">
        <f t="shared" si="3"/>
        <v>197440.200166806</v>
      </c>
      <c r="G11" s="30">
        <f t="shared" si="3"/>
        <v>2854000</v>
      </c>
      <c r="H11" s="32"/>
      <c r="I11" s="30">
        <f>SUM(I7:I10)</f>
        <v>2704000</v>
      </c>
      <c r="J11" s="32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3" t="s">
        <v>25</v>
      </c>
      <c r="B13" s="19" t="s">
        <v>26</v>
      </c>
      <c r="C13" s="18" t="s">
        <v>27</v>
      </c>
      <c r="D13" s="18" t="s">
        <v>28</v>
      </c>
      <c r="E13" s="18" t="s">
        <v>16</v>
      </c>
      <c r="F13" s="19" t="s">
        <v>29</v>
      </c>
      <c r="G13" s="19" t="s">
        <v>14</v>
      </c>
      <c r="H13" s="18" t="s">
        <v>30</v>
      </c>
      <c r="I13" s="19" t="s">
        <v>31</v>
      </c>
      <c r="J13" s="18" t="s">
        <v>20</v>
      </c>
      <c r="K13" s="54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</row>
    <row r="14" s="1" customFormat="1" ht="18" customHeight="1" spans="1:15">
      <c r="A14" s="34">
        <v>43221</v>
      </c>
      <c r="B14" s="16">
        <f t="shared" ref="B14:B17" si="4">ROUND(G14/(1+E14),2)</f>
        <v>26500</v>
      </c>
      <c r="C14" s="35"/>
      <c r="D14" s="36" t="s">
        <v>37</v>
      </c>
      <c r="E14" s="37"/>
      <c r="F14" s="16">
        <f t="shared" ref="F14:F17" si="5">ROUND(G14/(1+E14)*E14,2)</f>
        <v>0</v>
      </c>
      <c r="G14" s="38">
        <v>26500</v>
      </c>
      <c r="H14" s="21" t="s">
        <v>38</v>
      </c>
      <c r="I14" s="22">
        <v>26500</v>
      </c>
      <c r="J14" s="55"/>
      <c r="K14" s="56" t="s">
        <v>39</v>
      </c>
      <c r="L14" s="57"/>
      <c r="M14" s="58"/>
      <c r="N14" s="58"/>
      <c r="O14" s="57"/>
    </row>
    <row r="15" s="1" customFormat="1" ht="18" customHeight="1" spans="1:15">
      <c r="A15" s="39"/>
      <c r="B15" s="16">
        <f t="shared" si="4"/>
        <v>0</v>
      </c>
      <c r="C15" s="35"/>
      <c r="D15" s="36"/>
      <c r="E15" s="37"/>
      <c r="F15" s="16">
        <f t="shared" si="5"/>
        <v>0</v>
      </c>
      <c r="G15" s="38"/>
      <c r="H15" s="21" t="s">
        <v>38</v>
      </c>
      <c r="I15" s="22">
        <v>-26500</v>
      </c>
      <c r="J15" s="55"/>
      <c r="K15" s="56" t="s">
        <v>4</v>
      </c>
      <c r="L15" s="57"/>
      <c r="M15" s="58"/>
      <c r="N15" s="58"/>
      <c r="O15" s="57"/>
    </row>
    <row r="16" s="1" customFormat="1" ht="18" customHeight="1" spans="1:15">
      <c r="A16" s="34">
        <v>43221</v>
      </c>
      <c r="B16" s="16">
        <f t="shared" si="4"/>
        <v>15579.16</v>
      </c>
      <c r="C16" s="35"/>
      <c r="D16" s="36" t="s">
        <v>40</v>
      </c>
      <c r="E16" s="40">
        <v>0.06</v>
      </c>
      <c r="F16" s="16">
        <f t="shared" si="5"/>
        <v>934.75</v>
      </c>
      <c r="G16" s="25">
        <v>16513.91</v>
      </c>
      <c r="H16" s="21" t="s">
        <v>38</v>
      </c>
      <c r="I16" s="22">
        <v>16513.91</v>
      </c>
      <c r="J16" s="55"/>
      <c r="K16" s="59" t="s">
        <v>41</v>
      </c>
      <c r="L16" s="57"/>
      <c r="M16" s="58"/>
      <c r="N16" s="58"/>
      <c r="O16" s="57"/>
    </row>
    <row r="17" s="1" customFormat="1" ht="18" customHeight="1" spans="1:15">
      <c r="A17" s="39"/>
      <c r="B17" s="16">
        <f t="shared" si="4"/>
        <v>0</v>
      </c>
      <c r="C17" s="35"/>
      <c r="D17" s="36"/>
      <c r="E17" s="37"/>
      <c r="F17" s="16">
        <f t="shared" si="5"/>
        <v>0</v>
      </c>
      <c r="G17" s="25"/>
      <c r="H17" s="21" t="s">
        <v>38</v>
      </c>
      <c r="I17" s="22">
        <v>-16513.91</v>
      </c>
      <c r="J17" s="55"/>
      <c r="K17" s="56" t="s">
        <v>4</v>
      </c>
      <c r="L17" s="57"/>
      <c r="M17" s="58"/>
      <c r="N17" s="58"/>
      <c r="O17" s="57"/>
    </row>
    <row r="18" s="1" customFormat="1" ht="18" customHeight="1" spans="1:15">
      <c r="A18" s="39"/>
      <c r="B18" s="16">
        <f t="shared" ref="B18:B25" si="6">ROUND(G18/(1+E18),2)</f>
        <v>0</v>
      </c>
      <c r="C18" s="35"/>
      <c r="D18" s="36"/>
      <c r="E18" s="37"/>
      <c r="F18" s="16">
        <f t="shared" ref="F18:F25" si="7">ROUND(G18/(1+E18)*E18,2)</f>
        <v>0</v>
      </c>
      <c r="G18" s="25"/>
      <c r="H18" s="21" t="s">
        <v>42</v>
      </c>
      <c r="I18" s="22">
        <v>200000</v>
      </c>
      <c r="J18" s="55"/>
      <c r="K18" s="56" t="s">
        <v>43</v>
      </c>
      <c r="L18" s="57"/>
      <c r="M18" s="58"/>
      <c r="N18" s="58"/>
      <c r="O18" s="57"/>
    </row>
    <row r="19" s="1" customFormat="1" ht="18" customHeight="1" spans="1:15">
      <c r="A19" s="39"/>
      <c r="B19" s="16">
        <f t="shared" si="6"/>
        <v>0</v>
      </c>
      <c r="C19" s="35"/>
      <c r="D19" s="36"/>
      <c r="E19" s="37"/>
      <c r="F19" s="16">
        <f t="shared" si="7"/>
        <v>0</v>
      </c>
      <c r="G19" s="25"/>
      <c r="H19" s="21" t="s">
        <v>42</v>
      </c>
      <c r="I19" s="22">
        <v>-200000</v>
      </c>
      <c r="J19" s="55"/>
      <c r="K19" s="56" t="s">
        <v>4</v>
      </c>
      <c r="L19" s="57"/>
      <c r="M19" s="58"/>
      <c r="N19" s="58"/>
      <c r="O19" s="57"/>
    </row>
    <row r="20" s="1" customFormat="1" ht="18" customHeight="1" spans="1:15">
      <c r="A20" s="39"/>
      <c r="B20" s="16">
        <f t="shared" si="6"/>
        <v>0</v>
      </c>
      <c r="C20" s="35"/>
      <c r="D20" s="36"/>
      <c r="E20" s="37"/>
      <c r="F20" s="16">
        <f t="shared" si="7"/>
        <v>0</v>
      </c>
      <c r="G20" s="25"/>
      <c r="H20" s="21" t="s">
        <v>44</v>
      </c>
      <c r="I20" s="22">
        <v>100000</v>
      </c>
      <c r="J20" s="55"/>
      <c r="K20" s="56" t="s">
        <v>43</v>
      </c>
      <c r="L20" s="57"/>
      <c r="M20" s="58"/>
      <c r="N20" s="58"/>
      <c r="O20" s="57"/>
    </row>
    <row r="21" s="1" customFormat="1" ht="18" customHeight="1" spans="1:15">
      <c r="A21" s="39"/>
      <c r="B21" s="16">
        <f t="shared" si="6"/>
        <v>0</v>
      </c>
      <c r="C21" s="35"/>
      <c r="D21" s="36"/>
      <c r="E21" s="37"/>
      <c r="F21" s="16">
        <f t="shared" si="7"/>
        <v>0</v>
      </c>
      <c r="G21" s="25"/>
      <c r="H21" s="21" t="s">
        <v>44</v>
      </c>
      <c r="I21" s="22">
        <v>-100000</v>
      </c>
      <c r="J21" s="55"/>
      <c r="K21" s="56" t="s">
        <v>4</v>
      </c>
      <c r="L21" s="57"/>
      <c r="M21" s="58"/>
      <c r="N21" s="58"/>
      <c r="O21" s="57"/>
    </row>
    <row r="22" s="1" customFormat="1" ht="18" customHeight="1" spans="1:15">
      <c r="A22" s="39" t="s">
        <v>45</v>
      </c>
      <c r="B22" s="16">
        <f t="shared" si="6"/>
        <v>1200</v>
      </c>
      <c r="C22" s="35"/>
      <c r="D22" s="36" t="s">
        <v>37</v>
      </c>
      <c r="E22" s="37"/>
      <c r="F22" s="16">
        <f t="shared" si="7"/>
        <v>0</v>
      </c>
      <c r="G22" s="25">
        <v>1200</v>
      </c>
      <c r="H22" s="21"/>
      <c r="I22" s="22"/>
      <c r="J22" s="55"/>
      <c r="K22" s="56" t="s">
        <v>4</v>
      </c>
      <c r="L22" s="57" t="s">
        <v>46</v>
      </c>
      <c r="M22" s="58"/>
      <c r="N22" s="58"/>
      <c r="O22" s="57"/>
    </row>
    <row r="23" s="1" customFormat="1" ht="18" customHeight="1" spans="1:15">
      <c r="A23" s="39"/>
      <c r="B23" s="16">
        <f t="shared" si="6"/>
        <v>0</v>
      </c>
      <c r="C23" s="35"/>
      <c r="D23" s="36"/>
      <c r="E23" s="37"/>
      <c r="F23" s="16">
        <f t="shared" si="7"/>
        <v>0</v>
      </c>
      <c r="G23" s="25"/>
      <c r="H23" s="21" t="s">
        <v>47</v>
      </c>
      <c r="I23" s="22">
        <v>250000</v>
      </c>
      <c r="J23" s="55"/>
      <c r="K23" s="56" t="s">
        <v>43</v>
      </c>
      <c r="L23" s="57"/>
      <c r="M23" s="58"/>
      <c r="N23" s="58"/>
      <c r="O23" s="57"/>
    </row>
    <row r="24" s="1" customFormat="1" ht="18" customHeight="1" spans="1:15">
      <c r="A24" s="39"/>
      <c r="B24" s="16">
        <f t="shared" si="6"/>
        <v>0</v>
      </c>
      <c r="C24" s="35"/>
      <c r="D24" s="36"/>
      <c r="E24" s="37"/>
      <c r="F24" s="16">
        <f t="shared" si="7"/>
        <v>0</v>
      </c>
      <c r="G24" s="25"/>
      <c r="H24" s="21" t="s">
        <v>47</v>
      </c>
      <c r="I24" s="22">
        <v>-250000</v>
      </c>
      <c r="J24" s="55"/>
      <c r="K24" s="56" t="s">
        <v>4</v>
      </c>
      <c r="L24" s="57"/>
      <c r="M24" s="58"/>
      <c r="N24" s="58"/>
      <c r="O24" s="57"/>
    </row>
    <row r="25" s="1" customFormat="1" ht="18" customHeight="1" spans="1:15">
      <c r="A25" s="39">
        <v>43466</v>
      </c>
      <c r="B25" s="16">
        <f t="shared" si="6"/>
        <v>2320</v>
      </c>
      <c r="C25" s="35"/>
      <c r="D25" s="36" t="s">
        <v>37</v>
      </c>
      <c r="E25" s="37"/>
      <c r="F25" s="16">
        <f t="shared" si="7"/>
        <v>0</v>
      </c>
      <c r="G25" s="25">
        <v>2320</v>
      </c>
      <c r="H25" s="21" t="s">
        <v>47</v>
      </c>
      <c r="I25" s="22">
        <v>2320</v>
      </c>
      <c r="J25" s="55"/>
      <c r="K25" s="56" t="s">
        <v>48</v>
      </c>
      <c r="L25" s="57"/>
      <c r="M25" s="58"/>
      <c r="N25" s="58"/>
      <c r="O25" s="57"/>
    </row>
    <row r="26" s="1" customFormat="1" ht="18" customHeight="1" spans="1:15">
      <c r="A26" s="39"/>
      <c r="B26" s="16">
        <f t="shared" ref="B26:B34" si="8">ROUND(G26/(1+E26),2)</f>
        <v>0</v>
      </c>
      <c r="C26" s="35"/>
      <c r="D26" s="36"/>
      <c r="E26" s="37"/>
      <c r="F26" s="16">
        <f t="shared" ref="F26:F35" si="9">ROUND(G26/(1+E26)*E26,2)</f>
        <v>0</v>
      </c>
      <c r="G26" s="25"/>
      <c r="H26" s="21" t="s">
        <v>47</v>
      </c>
      <c r="I26" s="22">
        <v>-2320</v>
      </c>
      <c r="J26" s="55"/>
      <c r="K26" s="56" t="s">
        <v>4</v>
      </c>
      <c r="L26" s="57"/>
      <c r="M26" s="58"/>
      <c r="N26" s="58"/>
      <c r="O26" s="57"/>
    </row>
    <row r="27" s="1" customFormat="1" ht="18" customHeight="1" spans="1:15">
      <c r="A27" s="39">
        <v>43466</v>
      </c>
      <c r="B27" s="16">
        <f t="shared" ref="B27" si="10">ROUND(G27/(1+E27),2)</f>
        <v>41844.83</v>
      </c>
      <c r="C27" s="35"/>
      <c r="D27" s="36" t="s">
        <v>40</v>
      </c>
      <c r="E27" s="37">
        <v>0.16</v>
      </c>
      <c r="F27" s="16">
        <f t="shared" ref="F27" si="11">ROUND(G27/(1+E27)*E27,2)</f>
        <v>6695.17</v>
      </c>
      <c r="G27" s="25">
        <v>48540</v>
      </c>
      <c r="H27" s="21" t="s">
        <v>49</v>
      </c>
      <c r="I27" s="22">
        <v>48540</v>
      </c>
      <c r="J27" s="55"/>
      <c r="K27" s="56" t="s">
        <v>50</v>
      </c>
      <c r="L27" s="57"/>
      <c r="M27" s="58"/>
      <c r="N27" s="58"/>
      <c r="O27" s="57"/>
    </row>
    <row r="28" s="1" customFormat="1" ht="18" customHeight="1" spans="1:15">
      <c r="A28" s="39"/>
      <c r="B28" s="16">
        <f t="shared" si="8"/>
        <v>0</v>
      </c>
      <c r="C28" s="35"/>
      <c r="D28" s="36"/>
      <c r="E28" s="37"/>
      <c r="F28" s="16">
        <f t="shared" si="9"/>
        <v>0</v>
      </c>
      <c r="G28" s="25"/>
      <c r="H28" s="21" t="s">
        <v>49</v>
      </c>
      <c r="I28" s="22">
        <v>-48540</v>
      </c>
      <c r="J28" s="55"/>
      <c r="K28" s="56" t="s">
        <v>4</v>
      </c>
      <c r="L28" s="57"/>
      <c r="M28" s="58"/>
      <c r="N28" s="58"/>
      <c r="O28" s="57"/>
    </row>
    <row r="29" s="1" customFormat="1" ht="18" customHeight="1" spans="1:15">
      <c r="A29" s="39">
        <v>43466</v>
      </c>
      <c r="B29" s="16">
        <f t="shared" ref="B29" si="12">ROUND(G29/(1+E29),2)</f>
        <v>550797.41</v>
      </c>
      <c r="C29" s="35"/>
      <c r="D29" s="36" t="s">
        <v>40</v>
      </c>
      <c r="E29" s="37">
        <v>0.16</v>
      </c>
      <c r="F29" s="16">
        <f t="shared" ref="F29" si="13">ROUND(G29/(1+E29)*E29,2)</f>
        <v>88127.59</v>
      </c>
      <c r="G29" s="25">
        <f>78525+113085+102115+114455+115470+115275</f>
        <v>638925</v>
      </c>
      <c r="H29" s="21" t="s">
        <v>49</v>
      </c>
      <c r="I29" s="22">
        <v>88925</v>
      </c>
      <c r="J29" s="55"/>
      <c r="K29" s="56" t="s">
        <v>43</v>
      </c>
      <c r="L29" s="57"/>
      <c r="M29" s="58"/>
      <c r="N29" s="58"/>
      <c r="O29" s="57"/>
    </row>
    <row r="30" s="1" customFormat="1" ht="18" customHeight="1" spans="1:15">
      <c r="A30" s="39"/>
      <c r="B30" s="16">
        <f t="shared" si="8"/>
        <v>0</v>
      </c>
      <c r="C30" s="35"/>
      <c r="D30" s="36"/>
      <c r="E30" s="37"/>
      <c r="F30" s="16">
        <f t="shared" si="9"/>
        <v>0</v>
      </c>
      <c r="G30" s="25"/>
      <c r="H30" s="21" t="s">
        <v>49</v>
      </c>
      <c r="I30" s="22">
        <v>-88925</v>
      </c>
      <c r="J30" s="55"/>
      <c r="K30" s="56" t="s">
        <v>4</v>
      </c>
      <c r="L30" s="57"/>
      <c r="M30" s="58"/>
      <c r="N30" s="58"/>
      <c r="O30" s="57"/>
    </row>
    <row r="31" s="1" customFormat="1" ht="18" customHeight="1" spans="1:15">
      <c r="A31" s="39">
        <v>43466</v>
      </c>
      <c r="B31" s="16">
        <f t="shared" si="8"/>
        <v>97087.38</v>
      </c>
      <c r="C31" s="35"/>
      <c r="D31" s="36" t="s">
        <v>40</v>
      </c>
      <c r="E31" s="37">
        <v>0.03</v>
      </c>
      <c r="F31" s="16">
        <f t="shared" si="9"/>
        <v>2912.62</v>
      </c>
      <c r="G31" s="25">
        <v>100000</v>
      </c>
      <c r="H31" s="21">
        <v>43496</v>
      </c>
      <c r="I31" s="22">
        <v>100000</v>
      </c>
      <c r="J31" s="55" t="s">
        <v>21</v>
      </c>
      <c r="K31" s="56" t="s">
        <v>51</v>
      </c>
      <c r="L31" s="57" t="s">
        <v>52</v>
      </c>
      <c r="M31" s="58"/>
      <c r="N31" s="58"/>
      <c r="O31" s="57"/>
    </row>
    <row r="32" s="1" customFormat="1" ht="18" customHeight="1" spans="1:15">
      <c r="A32" s="39">
        <v>43466</v>
      </c>
      <c r="B32" s="16">
        <f t="shared" si="8"/>
        <v>129310.34</v>
      </c>
      <c r="C32" s="35"/>
      <c r="D32" s="36" t="s">
        <v>40</v>
      </c>
      <c r="E32" s="37">
        <v>0.16</v>
      </c>
      <c r="F32" s="16">
        <f t="shared" si="9"/>
        <v>20689.66</v>
      </c>
      <c r="G32" s="25">
        <v>150000</v>
      </c>
      <c r="H32" s="21">
        <v>43496</v>
      </c>
      <c r="I32" s="60">
        <v>150000</v>
      </c>
      <c r="J32" s="55" t="s">
        <v>21</v>
      </c>
      <c r="K32" s="56" t="s">
        <v>53</v>
      </c>
      <c r="L32" s="57" t="s">
        <v>54</v>
      </c>
      <c r="M32" s="58"/>
      <c r="N32" s="58"/>
      <c r="O32" s="57"/>
    </row>
    <row r="33" s="1" customFormat="1" ht="18" customHeight="1" spans="1:15">
      <c r="A33" s="39">
        <v>43466</v>
      </c>
      <c r="B33" s="16">
        <f t="shared" si="8"/>
        <v>194174.76</v>
      </c>
      <c r="C33" s="35"/>
      <c r="D33" s="36" t="s">
        <v>40</v>
      </c>
      <c r="E33" s="37">
        <v>0.03</v>
      </c>
      <c r="F33" s="16">
        <f t="shared" si="9"/>
        <v>5825.24</v>
      </c>
      <c r="G33" s="38">
        <v>200000</v>
      </c>
      <c r="H33" s="21">
        <v>43496</v>
      </c>
      <c r="I33" s="22">
        <v>200000</v>
      </c>
      <c r="J33" s="55" t="s">
        <v>21</v>
      </c>
      <c r="K33" s="56" t="s">
        <v>55</v>
      </c>
      <c r="L33" s="57" t="s">
        <v>56</v>
      </c>
      <c r="M33" s="58"/>
      <c r="N33" s="58"/>
      <c r="O33" s="57"/>
    </row>
    <row r="34" s="1" customFormat="1" ht="18" customHeight="1" spans="1:15">
      <c r="A34" s="39">
        <v>43466</v>
      </c>
      <c r="B34" s="16">
        <f t="shared" si="8"/>
        <v>22913.79</v>
      </c>
      <c r="C34" s="35"/>
      <c r="D34" s="36" t="s">
        <v>40</v>
      </c>
      <c r="E34" s="37">
        <v>0.16</v>
      </c>
      <c r="F34" s="16">
        <f t="shared" si="9"/>
        <v>3666.21</v>
      </c>
      <c r="G34" s="25">
        <v>26580</v>
      </c>
      <c r="H34" s="21">
        <v>43496</v>
      </c>
      <c r="I34" s="22">
        <v>26580</v>
      </c>
      <c r="J34" s="55" t="s">
        <v>21</v>
      </c>
      <c r="K34" s="59" t="s">
        <v>57</v>
      </c>
      <c r="L34" s="57" t="s">
        <v>58</v>
      </c>
      <c r="M34" s="58"/>
      <c r="N34" s="58"/>
      <c r="O34" s="57"/>
    </row>
    <row r="35" s="1" customFormat="1" ht="18" customHeight="1" spans="1:15">
      <c r="A35" s="39">
        <v>43466</v>
      </c>
      <c r="B35" s="16">
        <f t="shared" ref="B35:B50" si="14">ROUND(G35/(1+E35),2)</f>
        <v>388349.51</v>
      </c>
      <c r="C35" s="35"/>
      <c r="D35" s="36" t="s">
        <v>40</v>
      </c>
      <c r="E35" s="37">
        <v>0.03</v>
      </c>
      <c r="F35" s="16">
        <f t="shared" si="9"/>
        <v>11650.49</v>
      </c>
      <c r="G35" s="25">
        <v>400000</v>
      </c>
      <c r="H35" s="21">
        <v>43496</v>
      </c>
      <c r="I35" s="22">
        <v>400000</v>
      </c>
      <c r="J35" s="55" t="s">
        <v>21</v>
      </c>
      <c r="K35" s="59" t="s">
        <v>59</v>
      </c>
      <c r="L35" s="57" t="s">
        <v>60</v>
      </c>
      <c r="M35" s="58"/>
      <c r="N35" s="58"/>
      <c r="O35" s="57" t="s">
        <v>61</v>
      </c>
    </row>
    <row r="36" s="1" customFormat="1" ht="18" customHeight="1" spans="1:15">
      <c r="A36" s="39"/>
      <c r="B36" s="16">
        <f t="shared" si="14"/>
        <v>0</v>
      </c>
      <c r="C36" s="35"/>
      <c r="D36" s="36"/>
      <c r="E36" s="37"/>
      <c r="F36" s="16">
        <f t="shared" ref="F36:F55" si="15">ROUND(G36/(1+E36)*E36,2)</f>
        <v>0</v>
      </c>
      <c r="G36" s="25"/>
      <c r="H36" s="21">
        <v>43496</v>
      </c>
      <c r="I36" s="22">
        <v>26422</v>
      </c>
      <c r="J36" s="55" t="s">
        <v>62</v>
      </c>
      <c r="K36" s="61" t="s">
        <v>4</v>
      </c>
      <c r="L36" s="62" t="s">
        <v>63</v>
      </c>
      <c r="M36" s="58"/>
      <c r="N36" s="58"/>
      <c r="O36" s="57"/>
    </row>
    <row r="37" s="1" customFormat="1" ht="18" customHeight="1" spans="1:15">
      <c r="A37" s="39"/>
      <c r="B37" s="16">
        <f t="shared" si="14"/>
        <v>0</v>
      </c>
      <c r="C37" s="35"/>
      <c r="D37" s="36"/>
      <c r="E37" s="37"/>
      <c r="F37" s="16">
        <f t="shared" si="15"/>
        <v>0</v>
      </c>
      <c r="G37" s="25"/>
      <c r="H37" s="21">
        <v>43622</v>
      </c>
      <c r="I37" s="22">
        <v>364000</v>
      </c>
      <c r="J37" s="55" t="s">
        <v>62</v>
      </c>
      <c r="K37" s="61" t="s">
        <v>4</v>
      </c>
      <c r="L37" s="62" t="s">
        <v>63</v>
      </c>
      <c r="M37" s="58"/>
      <c r="N37" s="58"/>
      <c r="O37" s="57"/>
    </row>
    <row r="38" s="1" customFormat="1" ht="18" customHeight="1" spans="1:15">
      <c r="A38" s="39"/>
      <c r="B38" s="16">
        <f t="shared" si="14"/>
        <v>0</v>
      </c>
      <c r="C38" s="35"/>
      <c r="D38" s="36"/>
      <c r="E38" s="37"/>
      <c r="F38" s="16">
        <f t="shared" si="15"/>
        <v>0</v>
      </c>
      <c r="G38" s="25"/>
      <c r="H38" s="21">
        <v>43684</v>
      </c>
      <c r="I38" s="63">
        <v>73062</v>
      </c>
      <c r="J38" s="55" t="s">
        <v>21</v>
      </c>
      <c r="K38" s="61" t="s">
        <v>64</v>
      </c>
      <c r="L38" s="62" t="s">
        <v>65</v>
      </c>
      <c r="M38" s="58"/>
      <c r="N38" s="58"/>
      <c r="O38" s="57"/>
    </row>
    <row r="39" s="1" customFormat="1" ht="18" customHeight="1" spans="1:15">
      <c r="A39" s="39"/>
      <c r="B39" s="16">
        <f t="shared" si="14"/>
        <v>0</v>
      </c>
      <c r="C39" s="35"/>
      <c r="D39" s="36"/>
      <c r="E39" s="37"/>
      <c r="F39" s="16">
        <f t="shared" si="15"/>
        <v>0</v>
      </c>
      <c r="G39" s="25"/>
      <c r="H39" s="21">
        <v>43684</v>
      </c>
      <c r="I39" s="22">
        <v>-73062</v>
      </c>
      <c r="J39" s="55" t="s">
        <v>62</v>
      </c>
      <c r="K39" s="61" t="s">
        <v>4</v>
      </c>
      <c r="L39" s="57"/>
      <c r="M39" s="58"/>
      <c r="N39" s="58"/>
      <c r="O39" s="57"/>
    </row>
    <row r="40" s="1" customFormat="1" ht="18" customHeight="1" spans="1:15">
      <c r="A40" s="39">
        <v>43770</v>
      </c>
      <c r="B40" s="16">
        <f t="shared" si="14"/>
        <v>71840.71</v>
      </c>
      <c r="C40" s="35"/>
      <c r="D40" s="36" t="s">
        <v>40</v>
      </c>
      <c r="E40" s="40">
        <v>0.13</v>
      </c>
      <c r="F40" s="16">
        <f t="shared" si="15"/>
        <v>9339.29</v>
      </c>
      <c r="G40" s="25">
        <v>81180</v>
      </c>
      <c r="H40" s="21">
        <v>43693</v>
      </c>
      <c r="I40" s="22">
        <v>8118</v>
      </c>
      <c r="J40" s="55" t="s">
        <v>21</v>
      </c>
      <c r="K40" s="61" t="s">
        <v>64</v>
      </c>
      <c r="L40" s="62" t="s">
        <v>66</v>
      </c>
      <c r="M40" s="58"/>
      <c r="N40" s="58"/>
      <c r="O40" s="57"/>
    </row>
    <row r="41" s="1" customFormat="1" ht="18" customHeight="1" spans="1:15">
      <c r="A41" s="39"/>
      <c r="B41" s="16">
        <f t="shared" si="14"/>
        <v>0</v>
      </c>
      <c r="C41" s="35"/>
      <c r="D41" s="36"/>
      <c r="E41" s="37"/>
      <c r="F41" s="16">
        <f t="shared" si="15"/>
        <v>0</v>
      </c>
      <c r="G41" s="25"/>
      <c r="H41" s="21">
        <v>43693</v>
      </c>
      <c r="I41" s="22">
        <v>-8118</v>
      </c>
      <c r="J41" s="55" t="s">
        <v>62</v>
      </c>
      <c r="K41" s="61" t="s">
        <v>4</v>
      </c>
      <c r="L41" s="57"/>
      <c r="M41" s="58"/>
      <c r="N41" s="58"/>
      <c r="O41" s="57"/>
    </row>
    <row r="42" s="1" customFormat="1" ht="18" customHeight="1" spans="1:15">
      <c r="A42" s="39"/>
      <c r="B42" s="16">
        <f t="shared" si="14"/>
        <v>0</v>
      </c>
      <c r="C42" s="35"/>
      <c r="D42" s="36"/>
      <c r="E42" s="37"/>
      <c r="F42" s="16">
        <f t="shared" si="15"/>
        <v>0</v>
      </c>
      <c r="G42" s="25"/>
      <c r="H42" s="21">
        <v>43705</v>
      </c>
      <c r="I42" s="22">
        <v>290706</v>
      </c>
      <c r="J42" s="55" t="s">
        <v>62</v>
      </c>
      <c r="K42" s="61" t="s">
        <v>4</v>
      </c>
      <c r="L42" s="57"/>
      <c r="M42" s="58"/>
      <c r="N42" s="58"/>
      <c r="O42" s="57"/>
    </row>
    <row r="43" s="1" customFormat="1" ht="18" customHeight="1" spans="1:15">
      <c r="A43" s="39">
        <v>43831</v>
      </c>
      <c r="B43" s="22">
        <f t="shared" si="14"/>
        <v>349514.56</v>
      </c>
      <c r="C43" s="41"/>
      <c r="D43" s="36" t="s">
        <v>40</v>
      </c>
      <c r="E43" s="42">
        <v>0.03</v>
      </c>
      <c r="F43" s="22">
        <f t="shared" si="15"/>
        <v>10485.44</v>
      </c>
      <c r="G43" s="38">
        <f>360000</f>
        <v>360000</v>
      </c>
      <c r="H43" s="21">
        <v>43847</v>
      </c>
      <c r="I43" s="22">
        <v>360000</v>
      </c>
      <c r="J43" s="55" t="s">
        <v>21</v>
      </c>
      <c r="K43" s="61" t="s">
        <v>67</v>
      </c>
      <c r="L43" s="57" t="s">
        <v>68</v>
      </c>
      <c r="M43" s="58" t="s">
        <v>69</v>
      </c>
      <c r="N43" s="58"/>
      <c r="O43" s="57"/>
    </row>
    <row r="44" s="1" customFormat="1" ht="18" customHeight="1" spans="1:15">
      <c r="A44" s="39">
        <v>43831</v>
      </c>
      <c r="B44" s="22">
        <f t="shared" si="14"/>
        <v>5980.58</v>
      </c>
      <c r="C44" s="41"/>
      <c r="D44" s="36" t="s">
        <v>40</v>
      </c>
      <c r="E44" s="42">
        <v>0.03</v>
      </c>
      <c r="F44" s="22">
        <f t="shared" si="15"/>
        <v>179.42</v>
      </c>
      <c r="G44" s="38">
        <v>6160</v>
      </c>
      <c r="H44" s="21"/>
      <c r="I44" s="22"/>
      <c r="J44" s="55"/>
      <c r="K44" s="61" t="s">
        <v>70</v>
      </c>
      <c r="L44" s="57" t="s">
        <v>71</v>
      </c>
      <c r="M44" s="58"/>
      <c r="N44" s="58"/>
      <c r="O44" s="57"/>
    </row>
    <row r="45" s="1" customFormat="1" ht="18" customHeight="1" spans="1:15">
      <c r="A45" s="39">
        <v>43831</v>
      </c>
      <c r="B45" s="22">
        <f t="shared" si="14"/>
        <v>291262.14</v>
      </c>
      <c r="C45" s="41"/>
      <c r="D45" s="36" t="s">
        <v>40</v>
      </c>
      <c r="E45" s="42">
        <v>0.03</v>
      </c>
      <c r="F45" s="22">
        <f t="shared" si="15"/>
        <v>8737.86</v>
      </c>
      <c r="G45" s="38">
        <v>300000</v>
      </c>
      <c r="H45" s="21">
        <v>43847</v>
      </c>
      <c r="I45" s="22">
        <v>300000</v>
      </c>
      <c r="J45" s="55" t="s">
        <v>21</v>
      </c>
      <c r="K45" s="61" t="s">
        <v>51</v>
      </c>
      <c r="L45" s="57" t="s">
        <v>52</v>
      </c>
      <c r="M45" s="58" t="s">
        <v>69</v>
      </c>
      <c r="N45" s="58"/>
      <c r="O45" s="57"/>
    </row>
    <row r="46" s="1" customFormat="1" ht="18" customHeight="1" spans="1:15">
      <c r="A46" s="39">
        <v>43831</v>
      </c>
      <c r="B46" s="16">
        <f t="shared" si="14"/>
        <v>237045</v>
      </c>
      <c r="C46" s="35"/>
      <c r="D46" s="36" t="s">
        <v>72</v>
      </c>
      <c r="E46" s="37"/>
      <c r="F46" s="16">
        <f t="shared" si="15"/>
        <v>0</v>
      </c>
      <c r="G46" s="38">
        <f>42760+5800+90135+98350</f>
        <v>237045</v>
      </c>
      <c r="H46" s="21">
        <v>43847</v>
      </c>
      <c r="I46" s="22">
        <v>237045</v>
      </c>
      <c r="J46" s="55" t="s">
        <v>21</v>
      </c>
      <c r="K46" s="61" t="s">
        <v>73</v>
      </c>
      <c r="L46" s="57" t="s">
        <v>74</v>
      </c>
      <c r="M46" s="58"/>
      <c r="N46" s="58" t="s">
        <v>69</v>
      </c>
      <c r="O46" s="57"/>
    </row>
    <row r="47" s="1" customFormat="1" ht="18" customHeight="1" spans="1:15">
      <c r="A47" s="39">
        <v>43831</v>
      </c>
      <c r="B47" s="16">
        <f t="shared" si="14"/>
        <v>16170</v>
      </c>
      <c r="C47" s="35"/>
      <c r="D47" s="36" t="s">
        <v>72</v>
      </c>
      <c r="E47" s="37"/>
      <c r="F47" s="16">
        <f t="shared" si="15"/>
        <v>0</v>
      </c>
      <c r="G47" s="38">
        <v>16170</v>
      </c>
      <c r="H47" s="21"/>
      <c r="I47" s="22"/>
      <c r="J47" s="55"/>
      <c r="K47" s="59" t="s">
        <v>75</v>
      </c>
      <c r="L47" s="57" t="s">
        <v>76</v>
      </c>
      <c r="M47" s="58"/>
      <c r="N47" s="58" t="s">
        <v>77</v>
      </c>
      <c r="O47" s="57"/>
    </row>
    <row r="48" s="1" customFormat="1" ht="18" customHeight="1" spans="1:15">
      <c r="A48" s="39">
        <v>43831</v>
      </c>
      <c r="B48" s="16">
        <f t="shared" si="14"/>
        <v>49600</v>
      </c>
      <c r="C48" s="35"/>
      <c r="D48" s="36" t="s">
        <v>37</v>
      </c>
      <c r="E48" s="37"/>
      <c r="F48" s="16">
        <f t="shared" si="15"/>
        <v>0</v>
      </c>
      <c r="G48" s="38">
        <v>49600</v>
      </c>
      <c r="H48" s="21"/>
      <c r="I48" s="22"/>
      <c r="J48" s="55"/>
      <c r="K48" s="59" t="s">
        <v>116</v>
      </c>
      <c r="L48" s="57" t="s">
        <v>79</v>
      </c>
      <c r="M48" s="58"/>
      <c r="N48" s="58" t="s">
        <v>77</v>
      </c>
      <c r="O48" s="57"/>
    </row>
    <row r="49" s="1" customFormat="1" ht="18" customHeight="1" spans="1:15">
      <c r="A49" s="39"/>
      <c r="B49" s="16">
        <f t="shared" ref="B49:B57" si="16">ROUND(G49/(1+E49),2)</f>
        <v>0</v>
      </c>
      <c r="C49" s="35"/>
      <c r="D49" s="36"/>
      <c r="E49" s="37"/>
      <c r="F49" s="16">
        <f t="shared" ref="F49:F62" si="17">ROUND(G49/(1+E49)*E49,2)</f>
        <v>0</v>
      </c>
      <c r="G49" s="43"/>
      <c r="H49" s="21">
        <v>43847</v>
      </c>
      <c r="I49" s="22">
        <v>131657</v>
      </c>
      <c r="J49" s="55" t="s">
        <v>62</v>
      </c>
      <c r="K49" s="64" t="s">
        <v>4</v>
      </c>
      <c r="L49" s="64" t="s">
        <v>63</v>
      </c>
      <c r="M49" s="58"/>
      <c r="N49" s="58"/>
      <c r="O49" s="57"/>
    </row>
    <row r="50" s="1" customFormat="1" ht="18" customHeight="1" spans="1:15">
      <c r="A50" s="39"/>
      <c r="B50" s="16">
        <f t="shared" si="16"/>
        <v>0</v>
      </c>
      <c r="C50" s="35"/>
      <c r="D50" s="36"/>
      <c r="E50" s="37"/>
      <c r="F50" s="16">
        <f t="shared" si="17"/>
        <v>0</v>
      </c>
      <c r="G50" s="43"/>
      <c r="H50" s="21"/>
      <c r="I50" s="22"/>
      <c r="J50" s="55"/>
      <c r="K50" s="64"/>
      <c r="L50" s="64"/>
      <c r="M50" s="58"/>
      <c r="N50" s="58"/>
      <c r="O50" s="57"/>
    </row>
    <row r="51" s="1" customFormat="1" ht="18" customHeight="1" spans="1:15">
      <c r="A51" s="39"/>
      <c r="B51" s="16">
        <f t="shared" si="16"/>
        <v>0</v>
      </c>
      <c r="C51" s="35"/>
      <c r="D51" s="36"/>
      <c r="E51" s="37"/>
      <c r="F51" s="16">
        <f t="shared" si="17"/>
        <v>0</v>
      </c>
      <c r="G51" s="43"/>
      <c r="H51" s="21"/>
      <c r="I51" s="22"/>
      <c r="J51" s="55"/>
      <c r="K51" s="62"/>
      <c r="L51" s="62"/>
      <c r="M51" s="58"/>
      <c r="N51" s="58"/>
      <c r="O51" s="57"/>
    </row>
    <row r="52" s="1" customFormat="1" ht="18" customHeight="1" spans="1:15">
      <c r="A52" s="39"/>
      <c r="B52" s="16">
        <f t="shared" si="16"/>
        <v>0</v>
      </c>
      <c r="C52" s="35"/>
      <c r="D52" s="36"/>
      <c r="E52" s="37"/>
      <c r="F52" s="16">
        <f t="shared" si="17"/>
        <v>0</v>
      </c>
      <c r="G52" s="43"/>
      <c r="H52" s="21"/>
      <c r="I52" s="22"/>
      <c r="J52" s="55"/>
      <c r="K52" s="64"/>
      <c r="L52" s="64"/>
      <c r="M52" s="58"/>
      <c r="N52" s="58"/>
      <c r="O52" s="57"/>
    </row>
    <row r="53" s="1" customFormat="1" ht="18" customHeight="1" spans="1:15">
      <c r="A53" s="39"/>
      <c r="B53" s="16">
        <f t="shared" si="16"/>
        <v>0</v>
      </c>
      <c r="C53" s="35"/>
      <c r="D53" s="36"/>
      <c r="E53" s="37"/>
      <c r="F53" s="16">
        <f t="shared" si="17"/>
        <v>0</v>
      </c>
      <c r="G53" s="43"/>
      <c r="H53" s="21" t="s">
        <v>88</v>
      </c>
      <c r="I53" s="22">
        <v>400</v>
      </c>
      <c r="J53" s="55" t="s">
        <v>84</v>
      </c>
      <c r="K53" s="59" t="s">
        <v>85</v>
      </c>
      <c r="L53" s="57"/>
      <c r="M53" s="58"/>
      <c r="N53" s="58"/>
      <c r="O53" s="57"/>
    </row>
    <row r="54" s="1" customFormat="1" ht="18" customHeight="1" spans="1:15">
      <c r="A54" s="39"/>
      <c r="B54" s="16">
        <f t="shared" si="16"/>
        <v>0</v>
      </c>
      <c r="C54" s="35"/>
      <c r="D54" s="36"/>
      <c r="E54" s="37"/>
      <c r="F54" s="16">
        <f t="shared" si="17"/>
        <v>0</v>
      </c>
      <c r="G54" s="43"/>
      <c r="H54" s="21" t="s">
        <v>88</v>
      </c>
      <c r="I54" s="22">
        <v>500</v>
      </c>
      <c r="J54" s="55" t="s">
        <v>84</v>
      </c>
      <c r="K54" s="59" t="s">
        <v>89</v>
      </c>
      <c r="L54" s="57"/>
      <c r="M54" s="58"/>
      <c r="N54" s="58"/>
      <c r="O54" s="57"/>
    </row>
    <row r="55" s="1" customFormat="1" ht="18" customHeight="1" spans="1:15">
      <c r="A55" s="39"/>
      <c r="B55" s="16">
        <f t="shared" si="16"/>
        <v>0</v>
      </c>
      <c r="C55" s="35"/>
      <c r="D55" s="36"/>
      <c r="E55" s="37"/>
      <c r="F55" s="16">
        <f t="shared" si="17"/>
        <v>0</v>
      </c>
      <c r="G55" s="43"/>
      <c r="H55" s="21" t="s">
        <v>88</v>
      </c>
      <c r="I55" s="22">
        <v>19040</v>
      </c>
      <c r="J55" s="55" t="s">
        <v>84</v>
      </c>
      <c r="K55" s="59" t="s">
        <v>90</v>
      </c>
      <c r="L55" s="57"/>
      <c r="M55" s="58"/>
      <c r="N55" s="58"/>
      <c r="O55" s="57"/>
    </row>
    <row r="56" s="1" customFormat="1" ht="18" customHeight="1" spans="1:15">
      <c r="A56" s="39"/>
      <c r="B56" s="16">
        <f t="shared" si="16"/>
        <v>0</v>
      </c>
      <c r="C56" s="35"/>
      <c r="D56" s="36"/>
      <c r="E56" s="37"/>
      <c r="F56" s="16">
        <f t="shared" si="17"/>
        <v>0</v>
      </c>
      <c r="G56" s="25"/>
      <c r="H56" s="21" t="s">
        <v>88</v>
      </c>
      <c r="I56" s="22">
        <v>656</v>
      </c>
      <c r="J56" s="55" t="s">
        <v>84</v>
      </c>
      <c r="K56" s="59" t="s">
        <v>91</v>
      </c>
      <c r="L56" s="57"/>
      <c r="M56" s="58"/>
      <c r="N56" s="58"/>
      <c r="O56" s="57"/>
    </row>
    <row r="57" s="1" customFormat="1" ht="18" customHeight="1" spans="1:15">
      <c r="A57" s="39"/>
      <c r="B57" s="16">
        <f t="shared" si="16"/>
        <v>0</v>
      </c>
      <c r="C57" s="35"/>
      <c r="D57" s="36"/>
      <c r="E57" s="37"/>
      <c r="F57" s="16">
        <f t="shared" si="17"/>
        <v>0</v>
      </c>
      <c r="G57" s="25"/>
      <c r="H57" s="21"/>
      <c r="I57" s="22">
        <v>24204</v>
      </c>
      <c r="J57" s="55" t="s">
        <v>84</v>
      </c>
      <c r="K57" s="59" t="s">
        <v>90</v>
      </c>
      <c r="L57" s="57"/>
      <c r="M57" s="58"/>
      <c r="N57" s="58"/>
      <c r="O57" s="57"/>
    </row>
    <row r="58" s="1" customFormat="1" ht="18" customHeight="1" spans="1:15">
      <c r="A58" s="39"/>
      <c r="B58" s="16">
        <f t="shared" ref="B57:B62" si="18">ROUND(G58/(1+E58),2)</f>
        <v>0</v>
      </c>
      <c r="C58" s="35"/>
      <c r="D58" s="36"/>
      <c r="E58" s="37"/>
      <c r="F58" s="16">
        <f t="shared" si="17"/>
        <v>0</v>
      </c>
      <c r="G58" s="25"/>
      <c r="H58" s="21"/>
      <c r="I58" s="22">
        <v>908</v>
      </c>
      <c r="J58" s="55" t="s">
        <v>84</v>
      </c>
      <c r="K58" s="59" t="s">
        <v>91</v>
      </c>
      <c r="L58" s="57"/>
      <c r="M58" s="58"/>
      <c r="N58" s="58"/>
      <c r="O58" s="57"/>
    </row>
    <row r="59" s="1" customFormat="1" ht="18" customHeight="1" spans="1:15">
      <c r="A59" s="39"/>
      <c r="B59" s="16">
        <f t="shared" si="18"/>
        <v>0</v>
      </c>
      <c r="C59" s="35"/>
      <c r="D59" s="36"/>
      <c r="E59" s="37"/>
      <c r="F59" s="16">
        <f t="shared" si="17"/>
        <v>0</v>
      </c>
      <c r="G59" s="25"/>
      <c r="H59" s="21"/>
      <c r="I59" s="22">
        <v>500</v>
      </c>
      <c r="J59" s="55" t="s">
        <v>84</v>
      </c>
      <c r="K59" s="59" t="s">
        <v>89</v>
      </c>
      <c r="L59" s="57"/>
      <c r="M59" s="58"/>
      <c r="N59" s="58"/>
      <c r="O59" s="57"/>
    </row>
    <row r="60" s="1" customFormat="1" ht="18" customHeight="1" spans="1:17">
      <c r="A60" s="39"/>
      <c r="B60" s="16">
        <f t="shared" si="18"/>
        <v>71386</v>
      </c>
      <c r="C60" s="35"/>
      <c r="D60" s="36"/>
      <c r="E60" s="37"/>
      <c r="F60" s="16">
        <f t="shared" si="17"/>
        <v>0</v>
      </c>
      <c r="G60" s="25">
        <v>71386</v>
      </c>
      <c r="H60" s="21"/>
      <c r="I60" s="22">
        <f>G60</f>
        <v>71386</v>
      </c>
      <c r="J60" s="55" t="s">
        <v>84</v>
      </c>
      <c r="K60" s="59" t="s">
        <v>92</v>
      </c>
      <c r="L60" s="57"/>
      <c r="M60" s="58"/>
      <c r="N60" s="58"/>
      <c r="O60" s="57"/>
      <c r="Q60" s="1">
        <f>I60/I11</f>
        <v>0.0264001479289941</v>
      </c>
    </row>
    <row r="61" s="1" customFormat="1" ht="18" customHeight="1" spans="1:15">
      <c r="A61" s="39"/>
      <c r="B61" s="16">
        <f t="shared" si="18"/>
        <v>0</v>
      </c>
      <c r="C61" s="35"/>
      <c r="D61" s="36"/>
      <c r="E61" s="37"/>
      <c r="F61" s="16">
        <f t="shared" si="17"/>
        <v>0</v>
      </c>
      <c r="G61" s="25"/>
      <c r="H61" s="21"/>
      <c r="I61" s="22"/>
      <c r="J61" s="55"/>
      <c r="K61" s="59"/>
      <c r="L61" s="57"/>
      <c r="M61" s="58"/>
      <c r="N61" s="58"/>
      <c r="O61" s="57"/>
    </row>
    <row r="62" s="1" customFormat="1" ht="18" customHeight="1" spans="1:15">
      <c r="A62" s="39"/>
      <c r="B62" s="16">
        <f t="shared" si="18"/>
        <v>0</v>
      </c>
      <c r="C62" s="35"/>
      <c r="D62" s="36"/>
      <c r="E62" s="37"/>
      <c r="F62" s="16">
        <f t="shared" si="17"/>
        <v>0</v>
      </c>
      <c r="G62" s="25"/>
      <c r="H62" s="21"/>
      <c r="I62" s="22"/>
      <c r="J62" s="55"/>
      <c r="K62" s="59"/>
      <c r="L62" s="57"/>
      <c r="M62" s="58"/>
      <c r="N62" s="58"/>
      <c r="O62" s="57"/>
    </row>
    <row r="63" ht="18" customHeight="1" spans="1:15">
      <c r="A63" s="29" t="s">
        <v>23</v>
      </c>
      <c r="B63" s="28">
        <f>SUM(B14:B62)</f>
        <v>2562876.17</v>
      </c>
      <c r="C63" s="29"/>
      <c r="D63" s="44"/>
      <c r="E63" s="44"/>
      <c r="F63" s="31">
        <f>SUM(F14:F62)</f>
        <v>169243.74</v>
      </c>
      <c r="G63" s="45">
        <f>SUM(G14:G62)</f>
        <v>2732119.91</v>
      </c>
      <c r="H63" s="46"/>
      <c r="I63" s="30">
        <f>SUM(I14:I62)</f>
        <v>2704004</v>
      </c>
      <c r="J63" s="65"/>
      <c r="K63" s="44"/>
      <c r="L63" s="32"/>
      <c r="M63" s="55"/>
      <c r="N63" s="55"/>
      <c r="O63" s="32"/>
    </row>
    <row r="64" ht="18" customHeight="1" spans="1:14">
      <c r="A64" s="47" t="s">
        <v>93</v>
      </c>
      <c r="B64" s="48">
        <f>B11*0.984</f>
        <v>2562798.86572144</v>
      </c>
      <c r="C64" s="47"/>
      <c r="D64" s="49"/>
      <c r="E64" s="49"/>
      <c r="F64" s="48"/>
      <c r="G64" s="48">
        <f>G11-G63</f>
        <v>121880.09</v>
      </c>
      <c r="H64" s="20" t="s">
        <v>94</v>
      </c>
      <c r="I64" s="30">
        <f>I11-I63</f>
        <v>-4</v>
      </c>
      <c r="J64" s="6"/>
      <c r="K64" s="66"/>
      <c r="M64" s="67"/>
      <c r="N64" s="67"/>
    </row>
    <row r="65" ht="18" customHeight="1" spans="1:14">
      <c r="A65" s="47" t="s">
        <v>95</v>
      </c>
      <c r="B65" s="48">
        <f>B64-B63</f>
        <v>-77.3042785599828</v>
      </c>
      <c r="C65" s="47"/>
      <c r="D65" s="49"/>
      <c r="E65" s="49"/>
      <c r="F65" s="48"/>
      <c r="G65" s="48"/>
      <c r="H65" s="68"/>
      <c r="I65" s="48"/>
      <c r="J65" s="6"/>
      <c r="K65" s="66"/>
      <c r="M65" s="67"/>
      <c r="N65" s="67"/>
    </row>
    <row r="66" ht="18" customHeight="1" spans="1:3">
      <c r="A66" s="2" t="s">
        <v>96</v>
      </c>
      <c r="C66" s="2"/>
    </row>
    <row r="67" ht="18" customHeight="1" spans="1:9">
      <c r="A67" s="20" t="s">
        <v>97</v>
      </c>
      <c r="B67" s="19" t="s">
        <v>98</v>
      </c>
      <c r="C67" s="32"/>
      <c r="D67" s="20" t="s">
        <v>97</v>
      </c>
      <c r="E67" s="18" t="s">
        <v>16</v>
      </c>
      <c r="F67" s="19" t="s">
        <v>98</v>
      </c>
      <c r="G67" s="19" t="s">
        <v>99</v>
      </c>
      <c r="I67" s="19" t="s">
        <v>100</v>
      </c>
    </row>
    <row r="68" ht="18" customHeight="1" spans="1:9">
      <c r="A68" s="32" t="s">
        <v>102</v>
      </c>
      <c r="B68" s="16">
        <f>(B64-B63)*0.25</f>
        <v>-19.3260696399957</v>
      </c>
      <c r="C68" s="32"/>
      <c r="D68" s="27" t="s">
        <v>103</v>
      </c>
      <c r="E68" s="20" t="s">
        <v>104</v>
      </c>
      <c r="F68" s="31">
        <f>F11-F63</f>
        <v>28196.4601668059</v>
      </c>
      <c r="G68" s="31">
        <v>0</v>
      </c>
      <c r="I68" s="31">
        <v>0</v>
      </c>
    </row>
    <row r="69" ht="18" customHeight="1" spans="1:9">
      <c r="A69" s="32" t="s">
        <v>105</v>
      </c>
      <c r="B69" s="69" t="s">
        <v>106</v>
      </c>
      <c r="C69" s="32"/>
      <c r="D69" s="70" t="s">
        <v>107</v>
      </c>
      <c r="E69" s="13">
        <v>0.05</v>
      </c>
      <c r="F69" s="22">
        <f>F68*E69</f>
        <v>1409.8230083403</v>
      </c>
      <c r="G69" s="22">
        <v>0</v>
      </c>
      <c r="I69" s="22">
        <v>0</v>
      </c>
    </row>
    <row r="70" ht="18" customHeight="1" spans="1:9">
      <c r="A70" s="32" t="s">
        <v>91</v>
      </c>
      <c r="B70" s="69" t="s">
        <v>108</v>
      </c>
      <c r="C70" s="32"/>
      <c r="D70" s="70" t="s">
        <v>109</v>
      </c>
      <c r="E70" s="13">
        <v>0.03</v>
      </c>
      <c r="F70" s="22">
        <f>F68*E70</f>
        <v>845.893805004178</v>
      </c>
      <c r="G70" s="22">
        <v>0</v>
      </c>
      <c r="I70" s="22">
        <v>0</v>
      </c>
    </row>
    <row r="71" ht="18" customHeight="1" spans="1:9">
      <c r="A71" s="32"/>
      <c r="B71" s="22"/>
      <c r="C71" s="32"/>
      <c r="D71" s="70" t="s">
        <v>110</v>
      </c>
      <c r="E71" s="13">
        <v>0.02</v>
      </c>
      <c r="F71" s="22">
        <f>F68*E71</f>
        <v>563.929203336119</v>
      </c>
      <c r="G71" s="22">
        <v>0</v>
      </c>
      <c r="I71" s="22">
        <v>0</v>
      </c>
    </row>
    <row r="72" ht="18" customHeight="1" spans="1:9">
      <c r="A72" s="27" t="s">
        <v>111</v>
      </c>
      <c r="B72" s="28">
        <f>SUM(B68:B71)</f>
        <v>-19.3260696399957</v>
      </c>
      <c r="C72" s="32"/>
      <c r="D72" s="33" t="s">
        <v>111</v>
      </c>
      <c r="E72" s="27"/>
      <c r="F72" s="31">
        <f>SUM(F68:F71)</f>
        <v>31016.1061834865</v>
      </c>
      <c r="G72" s="31">
        <v>0</v>
      </c>
      <c r="H72" s="4"/>
      <c r="I72" s="31">
        <v>0</v>
      </c>
    </row>
    <row r="73" ht="18" customHeight="1" spans="3:9">
      <c r="C73" s="2"/>
      <c r="D73" s="11" t="s">
        <v>91</v>
      </c>
      <c r="E73" s="56">
        <v>0.0006</v>
      </c>
      <c r="F73" s="22">
        <f>B11*E73</f>
        <v>1562.682235196</v>
      </c>
      <c r="G73" s="22">
        <f>B7*E73</f>
        <v>907.636363636362</v>
      </c>
      <c r="I73" s="22">
        <f>B8*E73</f>
        <v>655.045871559636</v>
      </c>
    </row>
    <row r="74" ht="18" customHeight="1" spans="3:9">
      <c r="C74" s="2"/>
      <c r="D74" s="18" t="s">
        <v>111</v>
      </c>
      <c r="E74" s="44"/>
      <c r="F74" s="30">
        <f t="shared" ref="F74:I74" si="19">F73</f>
        <v>1562.682235196</v>
      </c>
      <c r="G74" s="30">
        <f t="shared" si="19"/>
        <v>907.636363636362</v>
      </c>
      <c r="I74" s="30">
        <f t="shared" si="19"/>
        <v>655.045871559636</v>
      </c>
    </row>
    <row r="75" ht="18" customHeight="1" spans="3:9">
      <c r="C75" s="2"/>
      <c r="D75" s="18" t="s">
        <v>23</v>
      </c>
      <c r="E75" s="29"/>
      <c r="F75" s="30">
        <f t="shared" ref="F75:I75" si="20">F72+F74</f>
        <v>32578.7884186825</v>
      </c>
      <c r="G75" s="30">
        <f t="shared" si="20"/>
        <v>907.636363636362</v>
      </c>
      <c r="I75" s="30">
        <f t="shared" si="20"/>
        <v>655.045871559636</v>
      </c>
    </row>
    <row r="76" ht="18" customHeight="1" spans="3:9">
      <c r="C76" s="2"/>
      <c r="D76" s="29" t="s">
        <v>102</v>
      </c>
      <c r="E76" s="44">
        <v>0.016</v>
      </c>
      <c r="F76" s="30">
        <f>B11*E76</f>
        <v>41671.5262718933</v>
      </c>
      <c r="G76" s="30">
        <f>B7*E76</f>
        <v>24203.6363636363</v>
      </c>
      <c r="I76" s="30">
        <f>G8*E76</f>
        <v>19040</v>
      </c>
    </row>
    <row r="77" ht="18" customHeight="1" spans="3:7">
      <c r="C77" s="2"/>
      <c r="G77" s="3">
        <f>B65*0.25</f>
        <v>-19.3260696399957</v>
      </c>
    </row>
    <row r="78" ht="18" customHeight="1" spans="3:3">
      <c r="C78" s="2"/>
    </row>
    <row r="79" ht="18" customHeight="1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3">
      <c r="C90" s="2"/>
    </row>
    <row r="91" spans="3:3">
      <c r="C91" s="2"/>
    </row>
    <row r="92" spans="3:3">
      <c r="C92" s="2"/>
    </row>
    <row r="93" spans="3:3">
      <c r="C93" s="2"/>
    </row>
    <row r="94" spans="3:3">
      <c r="C94" s="2"/>
    </row>
    <row r="95" spans="3:3">
      <c r="C95" s="2"/>
    </row>
  </sheetData>
  <protectedRanges>
    <protectedRange password="CF54" sqref="K36:L37 K39 K41 K42" name="区域1_20"/>
    <protectedRange sqref="K38:L38 K40:L40" name="区域1"/>
    <protectedRange sqref="I38" name="区域1_1"/>
    <protectedRange sqref="K49:L52" name="区域1_2"/>
  </protectedRanges>
  <autoFilter ref="A13:O7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2021-11-17T08:00:45Z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175854BD66AC4950B26D6033E57EF0F2</vt:lpwstr>
  </property>
</Properties>
</file>