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旧" sheetId="2" r:id="rId1"/>
    <sheet name="新" sheetId="1" r:id="rId2"/>
  </sheets>
  <definedNames>
    <definedName name="_xlnm._FilterDatabase" localSheetId="1" hidden="1">新!$A$42:$N$100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3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3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8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8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  <author>qyr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4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4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9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9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D9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D9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G100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税金部分ERP中已录入</t>
        </r>
      </text>
    </comment>
  </commentList>
</comments>
</file>

<file path=xl/sharedStrings.xml><?xml version="1.0" encoding="utf-8"?>
<sst xmlns="http://schemas.openxmlformats.org/spreadsheetml/2006/main" count="407" uniqueCount="118">
  <si>
    <t>瑶海区站前路-凤台路改造、全椒路、淮丰路、全椒支路、站西路、三星路、淮光路、中都路、敬亭山路、滁菊路等火车站十条路工程监控及安装工程</t>
  </si>
  <si>
    <t>中标日期</t>
  </si>
  <si>
    <t>2018.2.9</t>
  </si>
  <si>
    <t>中标价</t>
  </si>
  <si>
    <t>负责人</t>
  </si>
  <si>
    <t>孙容</t>
  </si>
  <si>
    <t>建设单位</t>
  </si>
  <si>
    <t>瑶海区重点工程建设管理局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</si>
  <si>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</si>
  <si>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</si>
  <si>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</si>
  <si>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</si>
  <si>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</si>
  <si>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</si>
  <si>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</si>
  <si>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</si>
  <si>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</si>
  <si>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</si>
  <si>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</si>
  <si>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</si>
  <si>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</si>
  <si>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18.8.23</t>
  </si>
  <si>
    <t>18.9.25</t>
  </si>
  <si>
    <t>18.9.20</t>
  </si>
  <si>
    <t>18.10.24</t>
  </si>
  <si>
    <t>18.11.16</t>
  </si>
  <si>
    <t>19.12.2</t>
  </si>
  <si>
    <t>20.1.19</t>
  </si>
  <si>
    <t>合计</t>
  </si>
  <si>
    <t>材料发票：</t>
  </si>
  <si>
    <t>销货单位</t>
  </si>
  <si>
    <t>货物</t>
  </si>
  <si>
    <t>合同</t>
  </si>
  <si>
    <t>发货单</t>
  </si>
  <si>
    <t>备注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</si>
  <si>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</si>
  <si>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</si>
  <si>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</si>
  <si>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</si>
  <si>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</si>
  <si>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</si>
  <si>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</si>
  <si>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18.7.31</t>
  </si>
  <si>
    <t>专</t>
  </si>
  <si>
    <t>安徽诚信项目管理有限公司</t>
  </si>
  <si>
    <t>杭州海康威视科技有限公司</t>
  </si>
  <si>
    <t>材料款</t>
  </si>
  <si>
    <t>安徽戴鑫信息技术有限公司</t>
  </si>
  <si>
    <t>食堂办公用</t>
  </si>
  <si>
    <t>食堂用</t>
  </si>
  <si>
    <t>办公费</t>
  </si>
  <si>
    <t>办公用品</t>
  </si>
  <si>
    <t>汽车维修费</t>
  </si>
  <si>
    <t>电力维修费</t>
  </si>
  <si>
    <t>电费</t>
  </si>
  <si>
    <t>检测校准办公费</t>
  </si>
  <si>
    <t>普</t>
  </si>
  <si>
    <t>电缆 石子黄沙水泥</t>
  </si>
  <si>
    <t>工资表</t>
  </si>
  <si>
    <t>18.11.22</t>
  </si>
  <si>
    <t>差旅费</t>
  </si>
  <si>
    <t>安徽领迅智能科技有限公司</t>
  </si>
  <si>
    <t>信号机</t>
  </si>
  <si>
    <t>安徽铸辉新兴电缆有限公司</t>
  </si>
  <si>
    <t>电缆</t>
  </si>
  <si>
    <t>辅材</t>
  </si>
  <si>
    <t>井盖</t>
  </si>
  <si>
    <t>收派服务费</t>
  </si>
  <si>
    <t>差旅招待</t>
  </si>
  <si>
    <t>车辆维修</t>
  </si>
  <si>
    <t>18.11.23</t>
  </si>
  <si>
    <t>王玲子</t>
  </si>
  <si>
    <t>工程款顶管</t>
  </si>
  <si>
    <t>18.10.14</t>
  </si>
  <si>
    <t>办公费用</t>
  </si>
  <si>
    <t>18.11.26</t>
  </si>
  <si>
    <t>担保费</t>
  </si>
  <si>
    <t>18.12.17</t>
  </si>
  <si>
    <t>差旅</t>
  </si>
  <si>
    <t>安徽融畅智能科技有限公司</t>
  </si>
  <si>
    <t>手续费</t>
  </si>
  <si>
    <t>代扣税金</t>
  </si>
  <si>
    <t>18.10.16</t>
  </si>
  <si>
    <t>2018.11.16</t>
  </si>
  <si>
    <t>管理费</t>
  </si>
  <si>
    <t>2018.9.25</t>
  </si>
  <si>
    <t>2018.10.14</t>
  </si>
  <si>
    <t>公司代缴税金：</t>
  </si>
  <si>
    <t>税种</t>
  </si>
  <si>
    <t>税额</t>
  </si>
  <si>
    <t>11月税费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</si>
  <si>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</si>
  <si>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</si>
  <si>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</si>
  <si>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</si>
  <si>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</si>
  <si>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</si>
  <si>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</si>
  <si>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</si>
  <si>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</si>
  <si>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C9245  瑶海区站前路-凤台路改造、全椒路、淮丰路、全椒支路、站西路、三星路、淮光路、中都路、敬亭山路、滁菊路等火车站十条路工程监控及安装工程</t>
  </si>
  <si>
    <t>瑶海区重点工程建设管理中心1234 0102 3941 0136 4A</t>
  </si>
  <si>
    <t>2018-8-23</t>
  </si>
  <si>
    <t>2018-9-25</t>
  </si>
  <si>
    <t>2018-9-20</t>
  </si>
  <si>
    <t>2018-10-24</t>
  </si>
  <si>
    <t>2018-11-16</t>
  </si>
  <si>
    <t>2019-12-2</t>
  </si>
  <si>
    <t>2020-1-19</t>
  </si>
  <si>
    <t>2021-12-14</t>
  </si>
  <si>
    <t>工程服务</t>
  </si>
  <si>
    <t>2020-047#-2445904</t>
  </si>
  <si>
    <t>2021年12月水利基金、印花税</t>
  </si>
  <si>
    <t>2021年12月本地2%税金</t>
  </si>
  <si>
    <t>代扣税金（截止2021.12月之前）</t>
  </si>
  <si>
    <t>已扣2%税金</t>
  </si>
  <si>
    <t>截止21年12月前2%税费</t>
  </si>
  <si>
    <t>补2%城建税差额部分</t>
  </si>
</sst>
</file>

<file path=xl/styles.xml><?xml version="1.0" encoding="utf-8"?>
<styleSheet xmlns="http://schemas.openxmlformats.org/spreadsheetml/2006/main">
  <numFmts count="7">
    <numFmt numFmtId="176" formatCode="#,##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/m/d;@"/>
    <numFmt numFmtId="41" formatCode="_ * #,##0_ ;_ * \-#,##0_ ;_ * &quot;-&quot;_ ;_ @_ "/>
    <numFmt numFmtId="178" formatCode="#,##0.00_ "/>
  </numFmts>
  <fonts count="37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9"/>
      <color rgb="FF333333"/>
      <name val="宋体"/>
      <charset val="134"/>
    </font>
    <font>
      <b/>
      <sz val="9"/>
      <color rgb="FF333333"/>
      <name val="ˎ̥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9"/>
      <color rgb="FFFF0000"/>
      <name val="宋体"/>
      <charset val="134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9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31" fillId="20" borderId="9" applyNumberFormat="0" applyAlignment="0" applyProtection="0">
      <alignment vertical="center"/>
    </xf>
    <xf numFmtId="0" fontId="32" fillId="35" borderId="1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107">
    <xf numFmtId="0" fontId="0" fillId="0" borderId="0" xfId="0"/>
    <xf numFmtId="0" fontId="1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left" vertical="center"/>
    </xf>
    <xf numFmtId="177" fontId="6" fillId="0" borderId="2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7" fontId="7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9" fontId="5" fillId="0" borderId="2" xfId="11" applyFont="1" applyBorder="1" applyAlignment="1">
      <alignment horizontal="center" vertical="center"/>
    </xf>
    <xf numFmtId="178" fontId="5" fillId="2" borderId="2" xfId="0" applyNumberFormat="1" applyFont="1" applyFill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5" fillId="5" borderId="2" xfId="0" applyNumberFormat="1" applyFont="1" applyFill="1" applyBorder="1" applyAlignment="1">
      <alignment vertical="center"/>
    </xf>
    <xf numFmtId="9" fontId="5" fillId="0" borderId="2" xfId="11" applyNumberFormat="1" applyFont="1" applyBorder="1" applyAlignment="1">
      <alignment horizontal="center" vertical="center"/>
    </xf>
    <xf numFmtId="178" fontId="8" fillId="6" borderId="2" xfId="0" applyNumberFormat="1" applyFont="1" applyFill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8" fontId="8" fillId="2" borderId="2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9" fontId="6" fillId="7" borderId="2" xfId="1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5" fillId="8" borderId="2" xfId="0" applyNumberFormat="1" applyFont="1" applyFill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5" fillId="0" borderId="4" xfId="0" applyNumberFormat="1" applyFont="1" applyBorder="1" applyAlignment="1">
      <alignment horizontal="left" vertical="center"/>
    </xf>
    <xf numFmtId="0" fontId="5" fillId="8" borderId="2" xfId="0" applyFont="1" applyFill="1" applyBorder="1" applyAlignment="1">
      <alignment horizontal="center" vertical="center"/>
    </xf>
    <xf numFmtId="178" fontId="5" fillId="8" borderId="2" xfId="0" applyNumberFormat="1" applyFont="1" applyFill="1" applyBorder="1" applyAlignment="1">
      <alignment vertical="center"/>
    </xf>
    <xf numFmtId="178" fontId="6" fillId="8" borderId="2" xfId="0" applyNumberFormat="1" applyFont="1" applyFill="1" applyBorder="1" applyAlignment="1">
      <alignment vertical="center"/>
    </xf>
    <xf numFmtId="178" fontId="8" fillId="0" borderId="5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78" fontId="5" fillId="0" borderId="0" xfId="0" applyNumberFormat="1" applyFont="1" applyBorder="1" applyAlignment="1">
      <alignment vertical="center"/>
    </xf>
    <xf numFmtId="1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5" fillId="6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0" fontId="5" fillId="0" borderId="2" xfId="0" applyNumberFormat="1" applyFont="1" applyBorder="1" applyAlignment="1">
      <alignment vertical="center"/>
    </xf>
    <xf numFmtId="178" fontId="5" fillId="9" borderId="2" xfId="0" applyNumberFormat="1" applyFont="1" applyFill="1" applyBorder="1" applyAlignment="1">
      <alignment vertical="center"/>
    </xf>
    <xf numFmtId="10" fontId="5" fillId="9" borderId="2" xfId="0" applyNumberFormat="1" applyFont="1" applyFill="1" applyBorder="1" applyAlignment="1">
      <alignment vertical="center"/>
    </xf>
    <xf numFmtId="178" fontId="10" fillId="0" borderId="2" xfId="0" applyNumberFormat="1" applyFont="1" applyBorder="1" applyAlignment="1">
      <alignment vertical="center"/>
    </xf>
    <xf numFmtId="10" fontId="10" fillId="0" borderId="2" xfId="0" applyNumberFormat="1" applyFont="1" applyBorder="1" applyAlignment="1">
      <alignment vertical="center"/>
    </xf>
    <xf numFmtId="178" fontId="6" fillId="10" borderId="2" xfId="49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78" fontId="8" fillId="2" borderId="2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8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8" fontId="1" fillId="3" borderId="2" xfId="0" applyNumberFormat="1" applyFont="1" applyFill="1" applyBorder="1" applyAlignment="1">
      <alignment vertical="center"/>
    </xf>
    <xf numFmtId="177" fontId="13" fillId="0" borderId="2" xfId="0" applyNumberFormat="1" applyFont="1" applyBorder="1" applyAlignment="1">
      <alignment vertical="center"/>
    </xf>
    <xf numFmtId="178" fontId="13" fillId="6" borderId="2" xfId="0" applyNumberFormat="1" applyFont="1" applyFill="1" applyBorder="1" applyAlignment="1">
      <alignment vertical="center"/>
    </xf>
    <xf numFmtId="178" fontId="13" fillId="0" borderId="2" xfId="0" applyNumberFormat="1" applyFont="1" applyBorder="1" applyAlignment="1">
      <alignment vertical="center"/>
    </xf>
    <xf numFmtId="178" fontId="13" fillId="2" borderId="2" xfId="0" applyNumberFormat="1" applyFont="1" applyFill="1" applyBorder="1" applyAlignment="1">
      <alignment vertical="center"/>
    </xf>
    <xf numFmtId="177" fontId="13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9" fontId="1" fillId="7" borderId="2" xfId="1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left" vertical="center"/>
    </xf>
    <xf numFmtId="10" fontId="2" fillId="0" borderId="0" xfId="0" applyNumberFormat="1" applyFont="1" applyAlignment="1">
      <alignment vertical="center"/>
    </xf>
    <xf numFmtId="10" fontId="13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8" fontId="2" fillId="6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0" fontId="13" fillId="0" borderId="2" xfId="0" applyNumberFormat="1" applyFont="1" applyBorder="1" applyAlignment="1">
      <alignment vertical="center"/>
    </xf>
    <xf numFmtId="178" fontId="1" fillId="6" borderId="2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178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78" fontId="2" fillId="2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8" fontId="14" fillId="0" borderId="2" xfId="0" applyNumberFormat="1" applyFont="1" applyBorder="1" applyAlignment="1">
      <alignment vertical="center"/>
    </xf>
    <xf numFmtId="178" fontId="10" fillId="10" borderId="2" xfId="49" applyNumberFormat="1" applyFont="1" applyFill="1" applyBorder="1" applyAlignment="1">
      <alignment horizontal="right" vertical="center" wrapText="1"/>
    </xf>
    <xf numFmtId="10" fontId="1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"/>
  <sheetViews>
    <sheetView topLeftCell="A61" workbookViewId="0">
      <selection activeCell="J81" sqref="J81"/>
    </sheetView>
  </sheetViews>
  <sheetFormatPr defaultColWidth="9" defaultRowHeight="12"/>
  <cols>
    <col min="1" max="1" width="10.75" style="2" customWidth="1"/>
    <col min="2" max="2" width="13.25" style="3" customWidth="1"/>
    <col min="3" max="3" width="6.125" style="3" customWidth="1"/>
    <col min="4" max="4" width="11.625" style="3" customWidth="1"/>
    <col min="5" max="5" width="6.125" style="3" customWidth="1"/>
    <col min="6" max="6" width="11.375" style="3" customWidth="1"/>
    <col min="7" max="7" width="14.125" style="3" customWidth="1"/>
    <col min="8" max="8" width="9.625" style="3" customWidth="1"/>
    <col min="9" max="9" width="14.75" style="3" customWidth="1"/>
    <col min="10" max="10" width="21" style="4" customWidth="1"/>
    <col min="11" max="11" width="17.25" style="4" customWidth="1"/>
    <col min="12" max="12" width="6" style="4" customWidth="1"/>
    <col min="13" max="13" width="5.625" style="4" customWidth="1"/>
    <col min="14" max="16384" width="9" style="4"/>
  </cols>
  <sheetData>
    <row r="1" ht="21.95" customHeight="1" spans="1:1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36"/>
      <c r="K1" s="36"/>
    </row>
    <row r="2" ht="18" customHeight="1" spans="1:11">
      <c r="A2" s="69" t="s">
        <v>1</v>
      </c>
      <c r="B2" s="70" t="s">
        <v>2</v>
      </c>
      <c r="C2" s="56" t="s">
        <v>3</v>
      </c>
      <c r="D2" s="56">
        <v>4896959.81</v>
      </c>
      <c r="E2" s="71" t="s">
        <v>4</v>
      </c>
      <c r="F2" s="56" t="s">
        <v>5</v>
      </c>
      <c r="G2" s="71" t="s">
        <v>6</v>
      </c>
      <c r="H2" s="72" t="s">
        <v>7</v>
      </c>
      <c r="I2" s="89"/>
      <c r="J2" s="36"/>
      <c r="K2" s="36"/>
    </row>
    <row r="3" ht="18" customHeight="1" spans="1:11">
      <c r="A3" s="69" t="s">
        <v>8</v>
      </c>
      <c r="B3" s="73"/>
      <c r="C3" s="56" t="s">
        <v>9</v>
      </c>
      <c r="D3" s="56"/>
      <c r="H3" s="36"/>
      <c r="I3" s="36"/>
      <c r="J3" s="36"/>
      <c r="K3" s="36"/>
    </row>
    <row r="4" ht="18" customHeight="1" spans="1:11">
      <c r="A4" s="2" t="s">
        <v>10</v>
      </c>
      <c r="H4" s="36"/>
      <c r="I4" s="36"/>
      <c r="J4" s="36"/>
      <c r="K4" s="36"/>
    </row>
    <row r="5" ht="18" customHeight="1" spans="1:9">
      <c r="A5" s="74" t="s">
        <v>11</v>
      </c>
      <c r="B5" s="74" t="s">
        <v>12</v>
      </c>
      <c r="C5" s="74" t="s">
        <v>13</v>
      </c>
      <c r="D5" s="74"/>
      <c r="E5" s="74" t="s">
        <v>14</v>
      </c>
      <c r="F5" s="74"/>
      <c r="G5" s="74" t="s">
        <v>15</v>
      </c>
      <c r="H5" s="75" t="s">
        <v>16</v>
      </c>
      <c r="I5" s="75"/>
    </row>
    <row r="6" ht="18" customHeight="1" spans="1:9">
      <c r="A6" s="74"/>
      <c r="B6" s="74"/>
      <c r="C6" s="74" t="s">
        <v>17</v>
      </c>
      <c r="D6" s="74" t="s">
        <v>18</v>
      </c>
      <c r="E6" s="74" t="s">
        <v>17</v>
      </c>
      <c r="F6" s="74" t="s">
        <v>18</v>
      </c>
      <c r="G6" s="74"/>
      <c r="H6" s="75" t="s">
        <v>19</v>
      </c>
      <c r="I6" s="75" t="s">
        <v>20</v>
      </c>
    </row>
    <row r="7" ht="18" customHeight="1" spans="1:9">
      <c r="A7" s="76" t="s">
        <v>21</v>
      </c>
      <c r="B7" s="56">
        <f t="shared" ref="B7:B26" si="0">G7/(1+C7+E7)</f>
        <v>120397.527272727</v>
      </c>
      <c r="C7" s="77">
        <v>0.02</v>
      </c>
      <c r="D7" s="56">
        <f t="shared" ref="D7:D26" si="1">G7/(1+E7+C7)*C7</f>
        <v>2407.95054545455</v>
      </c>
      <c r="E7" s="77">
        <v>0.08</v>
      </c>
      <c r="F7" s="56">
        <f t="shared" ref="F7:F26" si="2">G7/(1+C7+E7)*E7</f>
        <v>9631.80218181818</v>
      </c>
      <c r="G7" s="78">
        <v>132437.28</v>
      </c>
      <c r="H7" s="76" t="s">
        <v>22</v>
      </c>
      <c r="I7" s="56">
        <v>132437.28</v>
      </c>
    </row>
    <row r="8" ht="18" customHeight="1" spans="1:9">
      <c r="A8" s="76" t="s">
        <v>21</v>
      </c>
      <c r="B8" s="56">
        <f t="shared" si="0"/>
        <v>209315.636363636</v>
      </c>
      <c r="C8" s="77">
        <v>0.02</v>
      </c>
      <c r="D8" s="56">
        <f t="shared" si="1"/>
        <v>4186.31272727273</v>
      </c>
      <c r="E8" s="77">
        <v>0.08</v>
      </c>
      <c r="F8" s="56">
        <f t="shared" si="2"/>
        <v>16745.2509090909</v>
      </c>
      <c r="G8" s="78">
        <v>230247.2</v>
      </c>
      <c r="H8" s="76"/>
      <c r="I8" s="56">
        <v>230247.2</v>
      </c>
    </row>
    <row r="9" ht="18" customHeight="1" spans="1:9">
      <c r="A9" s="76" t="s">
        <v>21</v>
      </c>
      <c r="B9" s="56">
        <f t="shared" si="0"/>
        <v>699446.627272727</v>
      </c>
      <c r="C9" s="77">
        <v>0.02</v>
      </c>
      <c r="D9" s="56">
        <f t="shared" si="1"/>
        <v>13988.9325454545</v>
      </c>
      <c r="E9" s="77">
        <v>0.08</v>
      </c>
      <c r="F9" s="56">
        <f t="shared" si="2"/>
        <v>55955.7301818182</v>
      </c>
      <c r="G9" s="78">
        <v>769391.29</v>
      </c>
      <c r="H9" s="76"/>
      <c r="I9" s="56">
        <v>769391.29</v>
      </c>
    </row>
    <row r="10" ht="18" customHeight="1" spans="1:9">
      <c r="A10" s="76" t="s">
        <v>23</v>
      </c>
      <c r="B10" s="56">
        <f t="shared" si="0"/>
        <v>257201.345454545</v>
      </c>
      <c r="C10" s="77">
        <v>0.02</v>
      </c>
      <c r="D10" s="56">
        <f t="shared" si="1"/>
        <v>5144.02690909091</v>
      </c>
      <c r="E10" s="77">
        <v>0.08</v>
      </c>
      <c r="F10" s="56">
        <f t="shared" si="2"/>
        <v>20576.1076363636</v>
      </c>
      <c r="G10" s="78">
        <v>282921.48</v>
      </c>
      <c r="H10" s="76" t="s">
        <v>24</v>
      </c>
      <c r="I10" s="56">
        <v>282921.48</v>
      </c>
    </row>
    <row r="11" ht="18" customHeight="1" spans="1:9">
      <c r="A11" s="76" t="s">
        <v>23</v>
      </c>
      <c r="B11" s="56">
        <f t="shared" si="0"/>
        <v>249656.781818182</v>
      </c>
      <c r="C11" s="77">
        <v>0.02</v>
      </c>
      <c r="D11" s="56">
        <f t="shared" si="1"/>
        <v>4993.13563636364</v>
      </c>
      <c r="E11" s="77">
        <v>0.08</v>
      </c>
      <c r="F11" s="56">
        <f t="shared" si="2"/>
        <v>19972.5425454545</v>
      </c>
      <c r="G11" s="78">
        <v>274622.46</v>
      </c>
      <c r="H11" s="76"/>
      <c r="I11" s="56">
        <v>274622.46</v>
      </c>
    </row>
    <row r="12" ht="18" customHeight="1" spans="1:9">
      <c r="A12" s="76" t="s">
        <v>24</v>
      </c>
      <c r="B12" s="56">
        <f t="shared" si="0"/>
        <v>156436.881818182</v>
      </c>
      <c r="C12" s="77">
        <v>0.02</v>
      </c>
      <c r="D12" s="56">
        <f t="shared" si="1"/>
        <v>3128.73763636364</v>
      </c>
      <c r="E12" s="77">
        <v>0.08</v>
      </c>
      <c r="F12" s="56">
        <f t="shared" si="2"/>
        <v>12514.9505454545</v>
      </c>
      <c r="G12" s="78">
        <v>172080.57</v>
      </c>
      <c r="H12" s="76" t="s">
        <v>25</v>
      </c>
      <c r="I12" s="78">
        <v>172080.57</v>
      </c>
    </row>
    <row r="13" ht="18" customHeight="1" spans="1:9">
      <c r="A13" s="76" t="s">
        <v>24</v>
      </c>
      <c r="B13" s="56">
        <f t="shared" si="0"/>
        <v>34193.6090909091</v>
      </c>
      <c r="C13" s="77">
        <v>0.02</v>
      </c>
      <c r="D13" s="56">
        <f t="shared" si="1"/>
        <v>683.872181818182</v>
      </c>
      <c r="E13" s="77">
        <v>0.08</v>
      </c>
      <c r="F13" s="56">
        <f t="shared" si="2"/>
        <v>2735.48872727273</v>
      </c>
      <c r="G13" s="78">
        <v>37612.97</v>
      </c>
      <c r="H13" s="76"/>
      <c r="I13" s="78">
        <v>37612.97</v>
      </c>
    </row>
    <row r="14" ht="18" customHeight="1" spans="1:9">
      <c r="A14" s="76" t="s">
        <v>24</v>
      </c>
      <c r="B14" s="56">
        <f t="shared" si="0"/>
        <v>118831.872727273</v>
      </c>
      <c r="C14" s="77">
        <v>0.02</v>
      </c>
      <c r="D14" s="56">
        <f t="shared" si="1"/>
        <v>2376.63745454545</v>
      </c>
      <c r="E14" s="77">
        <v>0.08</v>
      </c>
      <c r="F14" s="56">
        <f t="shared" si="2"/>
        <v>9506.54981818182</v>
      </c>
      <c r="G14" s="78">
        <v>130715.06</v>
      </c>
      <c r="H14" s="76"/>
      <c r="I14" s="78">
        <v>130715.06</v>
      </c>
    </row>
    <row r="15" ht="18" customHeight="1" spans="1:11">
      <c r="A15" s="76" t="s">
        <v>26</v>
      </c>
      <c r="B15" s="56">
        <f t="shared" si="0"/>
        <v>590007.550458716</v>
      </c>
      <c r="C15" s="77">
        <v>0.02</v>
      </c>
      <c r="D15" s="56">
        <f t="shared" si="1"/>
        <v>11800.1510091743</v>
      </c>
      <c r="E15" s="77">
        <v>0.07</v>
      </c>
      <c r="F15" s="56">
        <f t="shared" si="2"/>
        <v>41300.5285321101</v>
      </c>
      <c r="G15" s="78">
        <v>643108.23</v>
      </c>
      <c r="H15" s="76" t="s">
        <v>27</v>
      </c>
      <c r="I15" s="78">
        <v>643108.23</v>
      </c>
      <c r="K15" s="4">
        <f>G15*0.95</f>
        <v>610952.8185</v>
      </c>
    </row>
    <row r="16" ht="18" customHeight="1" spans="1:9">
      <c r="A16" s="76"/>
      <c r="B16" s="56">
        <f t="shared" si="0"/>
        <v>160649.95412844</v>
      </c>
      <c r="C16" s="77">
        <v>0.02</v>
      </c>
      <c r="D16" s="56">
        <f t="shared" si="1"/>
        <v>3212.99908256881</v>
      </c>
      <c r="E16" s="77">
        <v>0.07</v>
      </c>
      <c r="F16" s="56">
        <f t="shared" si="2"/>
        <v>11245.4967889908</v>
      </c>
      <c r="G16" s="78">
        <v>175108.45</v>
      </c>
      <c r="H16" s="76"/>
      <c r="I16" s="78"/>
    </row>
    <row r="17" ht="18" customHeight="1" spans="1:9">
      <c r="A17" s="76"/>
      <c r="B17" s="56">
        <f t="shared" si="0"/>
        <v>24572.1651376147</v>
      </c>
      <c r="C17" s="77">
        <v>0.02</v>
      </c>
      <c r="D17" s="56">
        <f t="shared" si="1"/>
        <v>491.443302752294</v>
      </c>
      <c r="E17" s="77">
        <v>0.07</v>
      </c>
      <c r="F17" s="56">
        <f t="shared" si="2"/>
        <v>1720.05155963303</v>
      </c>
      <c r="G17" s="78">
        <v>26783.66</v>
      </c>
      <c r="H17" s="76"/>
      <c r="I17" s="78"/>
    </row>
    <row r="18" ht="18" customHeight="1" spans="1:9">
      <c r="A18" s="76"/>
      <c r="B18" s="56">
        <f t="shared" si="0"/>
        <v>215005.128440367</v>
      </c>
      <c r="C18" s="77">
        <v>0.02</v>
      </c>
      <c r="D18" s="56">
        <f t="shared" si="1"/>
        <v>4300.10256880734</v>
      </c>
      <c r="E18" s="77">
        <v>0.07</v>
      </c>
      <c r="F18" s="56">
        <f t="shared" si="2"/>
        <v>15050.3589908257</v>
      </c>
      <c r="G18" s="78">
        <v>234355.59</v>
      </c>
      <c r="H18" s="76"/>
      <c r="I18" s="78"/>
    </row>
    <row r="19" ht="18" customHeight="1" spans="1:9">
      <c r="A19" s="76"/>
      <c r="B19" s="56">
        <f t="shared" si="0"/>
        <v>28229.4220183486</v>
      </c>
      <c r="C19" s="77">
        <v>0.02</v>
      </c>
      <c r="D19" s="56">
        <f t="shared" si="1"/>
        <v>564.588440366972</v>
      </c>
      <c r="E19" s="77">
        <v>0.07</v>
      </c>
      <c r="F19" s="56">
        <f t="shared" si="2"/>
        <v>1976.0595412844</v>
      </c>
      <c r="G19" s="78">
        <v>30770.07</v>
      </c>
      <c r="H19" s="76"/>
      <c r="I19" s="78"/>
    </row>
    <row r="20" ht="18" customHeight="1" spans="1:9">
      <c r="A20" s="76"/>
      <c r="B20" s="56">
        <f t="shared" si="0"/>
        <v>32411.871559633</v>
      </c>
      <c r="C20" s="77">
        <v>0.02</v>
      </c>
      <c r="D20" s="56">
        <f t="shared" si="1"/>
        <v>648.237431192661</v>
      </c>
      <c r="E20" s="77">
        <v>0.07</v>
      </c>
      <c r="F20" s="56">
        <f t="shared" si="2"/>
        <v>2268.83100917431</v>
      </c>
      <c r="G20" s="78">
        <v>35328.94</v>
      </c>
      <c r="H20" s="76"/>
      <c r="I20" s="78"/>
    </row>
    <row r="21" ht="18" customHeight="1" spans="1:9">
      <c r="A21" s="76"/>
      <c r="B21" s="56">
        <f t="shared" si="0"/>
        <v>175387.376146789</v>
      </c>
      <c r="C21" s="77">
        <v>0.02</v>
      </c>
      <c r="D21" s="56">
        <f t="shared" si="1"/>
        <v>3507.74752293578</v>
      </c>
      <c r="E21" s="77">
        <v>0.07</v>
      </c>
      <c r="F21" s="56">
        <f t="shared" si="2"/>
        <v>12277.1163302752</v>
      </c>
      <c r="G21" s="78">
        <v>191172.24</v>
      </c>
      <c r="H21" s="76"/>
      <c r="I21" s="78"/>
    </row>
    <row r="22" ht="18" customHeight="1" spans="1:9">
      <c r="A22" s="76"/>
      <c r="B22" s="56">
        <f t="shared" si="0"/>
        <v>817541.623853211</v>
      </c>
      <c r="C22" s="77">
        <v>0.02</v>
      </c>
      <c r="D22" s="56">
        <f t="shared" si="1"/>
        <v>16350.8324770642</v>
      </c>
      <c r="E22" s="77">
        <v>0.07</v>
      </c>
      <c r="F22" s="56">
        <f t="shared" si="2"/>
        <v>57227.9136697248</v>
      </c>
      <c r="G22" s="78">
        <v>891120.37</v>
      </c>
      <c r="H22" s="76"/>
      <c r="I22" s="78"/>
    </row>
    <row r="23" ht="18" customHeight="1" spans="1:9">
      <c r="A23" s="76"/>
      <c r="B23" s="56">
        <f t="shared" si="0"/>
        <v>81961.128440367</v>
      </c>
      <c r="C23" s="77">
        <v>0.02</v>
      </c>
      <c r="D23" s="56">
        <f t="shared" si="1"/>
        <v>1639.22256880734</v>
      </c>
      <c r="E23" s="77">
        <v>0.07</v>
      </c>
      <c r="F23" s="56">
        <f t="shared" si="2"/>
        <v>5737.27899082569</v>
      </c>
      <c r="G23" s="78">
        <v>89337.63</v>
      </c>
      <c r="H23" s="76"/>
      <c r="I23" s="78"/>
    </row>
    <row r="24" ht="18" customHeight="1" spans="1:9">
      <c r="A24" s="76"/>
      <c r="B24" s="56">
        <f t="shared" si="0"/>
        <v>100380.137614679</v>
      </c>
      <c r="C24" s="77">
        <v>0.02</v>
      </c>
      <c r="D24" s="56">
        <f t="shared" si="1"/>
        <v>2007.60275229358</v>
      </c>
      <c r="E24" s="77">
        <v>0.07</v>
      </c>
      <c r="F24" s="56">
        <f t="shared" si="2"/>
        <v>7026.60963302752</v>
      </c>
      <c r="G24" s="78">
        <v>109414.35</v>
      </c>
      <c r="H24" s="76"/>
      <c r="I24" s="78"/>
    </row>
    <row r="25" ht="18" customHeight="1" spans="1:9">
      <c r="A25" s="76"/>
      <c r="B25" s="56">
        <f t="shared" si="0"/>
        <v>156736.944954128</v>
      </c>
      <c r="C25" s="77">
        <v>0.02</v>
      </c>
      <c r="D25" s="56">
        <f t="shared" si="1"/>
        <v>3134.73889908257</v>
      </c>
      <c r="E25" s="77">
        <v>0.07</v>
      </c>
      <c r="F25" s="56">
        <f t="shared" si="2"/>
        <v>10971.586146789</v>
      </c>
      <c r="G25" s="78">
        <v>170843.27</v>
      </c>
      <c r="H25" s="76"/>
      <c r="I25" s="78"/>
    </row>
    <row r="26" ht="18" customHeight="1" spans="1:9">
      <c r="A26" s="76"/>
      <c r="B26" s="56">
        <f t="shared" si="0"/>
        <v>0</v>
      </c>
      <c r="C26" s="77">
        <v>0.02</v>
      </c>
      <c r="D26" s="56">
        <f t="shared" si="1"/>
        <v>0</v>
      </c>
      <c r="E26" s="77">
        <v>0.08</v>
      </c>
      <c r="F26" s="56">
        <f t="shared" si="2"/>
        <v>0</v>
      </c>
      <c r="G26" s="78"/>
      <c r="H26" s="76"/>
      <c r="I26" s="56"/>
    </row>
    <row r="27" ht="18" customHeight="1" spans="1:11">
      <c r="A27" s="79" t="s">
        <v>28</v>
      </c>
      <c r="B27" s="80">
        <f t="shared" ref="B27:G27" si="3">SUM(B7:B26)</f>
        <v>4228363.58457048</v>
      </c>
      <c r="C27" s="81"/>
      <c r="D27" s="81">
        <f t="shared" si="3"/>
        <v>84567.2716914095</v>
      </c>
      <c r="E27" s="81"/>
      <c r="F27" s="82">
        <f t="shared" si="3"/>
        <v>314440.253738115</v>
      </c>
      <c r="G27" s="81">
        <f t="shared" si="3"/>
        <v>4627371.11</v>
      </c>
      <c r="H27" s="55"/>
      <c r="I27" s="81">
        <f>SUM(I7:I26)</f>
        <v>2673136.54</v>
      </c>
      <c r="J27" s="3"/>
      <c r="K27" s="90"/>
    </row>
    <row r="28" ht="18" customHeight="1" spans="1:14">
      <c r="A28" s="2" t="s">
        <v>29</v>
      </c>
      <c r="B28" s="4"/>
      <c r="J28" s="91" t="s">
        <v>30</v>
      </c>
      <c r="K28" s="75" t="s">
        <v>31</v>
      </c>
      <c r="L28" s="75" t="s">
        <v>32</v>
      </c>
      <c r="M28" s="75" t="s">
        <v>33</v>
      </c>
      <c r="N28" s="75" t="s">
        <v>34</v>
      </c>
    </row>
    <row r="29" s="1" customFormat="1" ht="18" customHeight="1" spans="1:14">
      <c r="A29" s="83" t="s">
        <v>35</v>
      </c>
      <c r="B29" s="74" t="s">
        <v>36</v>
      </c>
      <c r="C29" s="74" t="s">
        <v>37</v>
      </c>
      <c r="D29" s="74" t="s">
        <v>38</v>
      </c>
      <c r="E29" s="74" t="s">
        <v>17</v>
      </c>
      <c r="F29" s="74" t="s">
        <v>39</v>
      </c>
      <c r="G29" s="74" t="s">
        <v>15</v>
      </c>
      <c r="H29" s="74" t="s">
        <v>40</v>
      </c>
      <c r="I29" s="74" t="s">
        <v>41</v>
      </c>
      <c r="J29" s="92"/>
      <c r="K29" s="93"/>
      <c r="L29" s="85"/>
      <c r="M29" s="85"/>
      <c r="N29" s="93"/>
    </row>
    <row r="30" s="1" customFormat="1" ht="18" customHeight="1" spans="1:14">
      <c r="A30" s="83" t="s">
        <v>42</v>
      </c>
      <c r="B30" s="84">
        <f t="shared" ref="B30:B74" si="4">ROUND(G30/(1+E30),2)</f>
        <v>62105.66</v>
      </c>
      <c r="D30" s="85" t="s">
        <v>43</v>
      </c>
      <c r="E30" s="86">
        <v>0.06</v>
      </c>
      <c r="F30" s="84">
        <f t="shared" ref="F30:F74" si="5">ROUND(G30/(1+E30)*E30,2)</f>
        <v>3726.34</v>
      </c>
      <c r="G30" s="78">
        <v>65832</v>
      </c>
      <c r="H30" s="74"/>
      <c r="I30" s="74"/>
      <c r="J30" s="92" t="s">
        <v>44</v>
      </c>
      <c r="K30" s="74"/>
      <c r="L30" s="85"/>
      <c r="M30" s="85"/>
      <c r="N30" s="93"/>
    </row>
    <row r="31" s="1" customFormat="1" ht="18" customHeight="1" spans="1:14">
      <c r="A31" s="70" t="s">
        <v>22</v>
      </c>
      <c r="B31" s="84">
        <f t="shared" si="4"/>
        <v>621456.9</v>
      </c>
      <c r="C31" s="87">
        <v>2</v>
      </c>
      <c r="D31" s="85" t="s">
        <v>43</v>
      </c>
      <c r="E31" s="86">
        <v>0.16</v>
      </c>
      <c r="F31" s="84">
        <f t="shared" si="5"/>
        <v>99433.1</v>
      </c>
      <c r="G31" s="78">
        <f>719890+1000</f>
        <v>720890</v>
      </c>
      <c r="H31" s="76"/>
      <c r="I31" s="56"/>
      <c r="J31" s="92" t="s">
        <v>45</v>
      </c>
      <c r="K31" s="56" t="s">
        <v>46</v>
      </c>
      <c r="L31" s="85"/>
      <c r="M31" s="85"/>
      <c r="N31" s="93"/>
    </row>
    <row r="32" s="1" customFormat="1" ht="18" customHeight="1" spans="1:14">
      <c r="A32" s="70" t="s">
        <v>22</v>
      </c>
      <c r="B32" s="84">
        <f t="shared" si="4"/>
        <v>31034.48</v>
      </c>
      <c r="C32" s="87">
        <v>1</v>
      </c>
      <c r="D32" s="85" t="s">
        <v>43</v>
      </c>
      <c r="E32" s="86">
        <v>0.16</v>
      </c>
      <c r="F32" s="84">
        <f t="shared" si="5"/>
        <v>4965.52</v>
      </c>
      <c r="G32" s="78">
        <v>36000</v>
      </c>
      <c r="H32" s="88"/>
      <c r="I32" s="56"/>
      <c r="J32" s="92" t="s">
        <v>47</v>
      </c>
      <c r="K32" s="56" t="s">
        <v>46</v>
      </c>
      <c r="L32" s="85"/>
      <c r="M32" s="85"/>
      <c r="N32" s="93"/>
    </row>
    <row r="33" s="1" customFormat="1" ht="18" customHeight="1" spans="1:14">
      <c r="A33" s="70" t="s">
        <v>22</v>
      </c>
      <c r="B33" s="84">
        <f t="shared" si="4"/>
        <v>56680.95</v>
      </c>
      <c r="C33" s="87">
        <v>4</v>
      </c>
      <c r="D33" s="85" t="s">
        <v>43</v>
      </c>
      <c r="E33" s="86">
        <v>0.16</v>
      </c>
      <c r="F33" s="84">
        <f t="shared" si="5"/>
        <v>9068.95</v>
      </c>
      <c r="G33" s="78">
        <f>63534+169+1999+47.9</f>
        <v>65749.9</v>
      </c>
      <c r="H33" s="76"/>
      <c r="I33" s="56"/>
      <c r="J33" s="92"/>
      <c r="K33" s="56" t="s">
        <v>48</v>
      </c>
      <c r="L33" s="85"/>
      <c r="M33" s="85"/>
      <c r="N33" s="93"/>
    </row>
    <row r="34" s="1" customFormat="1" ht="18" customHeight="1" spans="1:14">
      <c r="A34" s="70" t="s">
        <v>22</v>
      </c>
      <c r="B34" s="84">
        <f t="shared" si="4"/>
        <v>12000</v>
      </c>
      <c r="C34" s="87">
        <v>3</v>
      </c>
      <c r="D34" s="85" t="s">
        <v>43</v>
      </c>
      <c r="E34" s="86">
        <v>0.1</v>
      </c>
      <c r="F34" s="84">
        <f t="shared" si="5"/>
        <v>1200</v>
      </c>
      <c r="G34" s="78">
        <f>6784+6416</f>
        <v>13200</v>
      </c>
      <c r="H34" s="76"/>
      <c r="I34" s="56"/>
      <c r="J34" s="92"/>
      <c r="K34" s="56" t="s">
        <v>49</v>
      </c>
      <c r="L34" s="85"/>
      <c r="M34" s="85"/>
      <c r="N34" s="93"/>
    </row>
    <row r="35" s="1" customFormat="1" ht="18" customHeight="1" spans="1:14">
      <c r="A35" s="70" t="s">
        <v>22</v>
      </c>
      <c r="B35" s="84">
        <f t="shared" si="4"/>
        <v>3036.04</v>
      </c>
      <c r="C35" s="87">
        <v>0</v>
      </c>
      <c r="D35" s="85" t="s">
        <v>43</v>
      </c>
      <c r="E35" s="86">
        <v>0.11</v>
      </c>
      <c r="F35" s="84">
        <f t="shared" si="5"/>
        <v>333.96</v>
      </c>
      <c r="G35" s="78">
        <v>3370</v>
      </c>
      <c r="H35" s="76"/>
      <c r="I35" s="56"/>
      <c r="J35" s="92"/>
      <c r="K35" s="56" t="s">
        <v>49</v>
      </c>
      <c r="L35" s="85"/>
      <c r="M35" s="85"/>
      <c r="N35" s="93"/>
    </row>
    <row r="36" s="1" customFormat="1" ht="18" customHeight="1" spans="1:14">
      <c r="A36" s="70" t="s">
        <v>22</v>
      </c>
      <c r="B36" s="84">
        <f t="shared" si="4"/>
        <v>6895.69</v>
      </c>
      <c r="C36" s="87">
        <v>1</v>
      </c>
      <c r="D36" s="85" t="s">
        <v>43</v>
      </c>
      <c r="E36" s="86">
        <v>0.16</v>
      </c>
      <c r="F36" s="84">
        <f t="shared" si="5"/>
        <v>1103.31</v>
      </c>
      <c r="G36" s="78">
        <v>7999</v>
      </c>
      <c r="H36" s="76"/>
      <c r="I36" s="56"/>
      <c r="J36" s="92"/>
      <c r="K36" s="56" t="s">
        <v>50</v>
      </c>
      <c r="L36" s="85"/>
      <c r="M36" s="85"/>
      <c r="N36" s="93"/>
    </row>
    <row r="37" s="1" customFormat="1" ht="18" customHeight="1" spans="1:14">
      <c r="A37" s="70" t="s">
        <v>22</v>
      </c>
      <c r="B37" s="84">
        <f t="shared" si="4"/>
        <v>9420.26</v>
      </c>
      <c r="C37" s="87">
        <v>5</v>
      </c>
      <c r="D37" s="85" t="s">
        <v>43</v>
      </c>
      <c r="E37" s="86">
        <v>0.16</v>
      </c>
      <c r="F37" s="84">
        <f t="shared" si="5"/>
        <v>1507.24</v>
      </c>
      <c r="G37" s="78">
        <f>6354+380+3645+179.5+369</f>
        <v>10927.5</v>
      </c>
      <c r="H37" s="76"/>
      <c r="I37" s="56"/>
      <c r="J37" s="92"/>
      <c r="K37" s="56" t="s">
        <v>46</v>
      </c>
      <c r="L37" s="85"/>
      <c r="M37" s="85"/>
      <c r="N37" s="93"/>
    </row>
    <row r="38" s="1" customFormat="1" ht="18" customHeight="1" spans="1:14">
      <c r="A38" s="70" t="s">
        <v>22</v>
      </c>
      <c r="B38" s="84">
        <f t="shared" si="4"/>
        <v>3890.16</v>
      </c>
      <c r="C38" s="87">
        <v>1</v>
      </c>
      <c r="D38" s="85" t="s">
        <v>43</v>
      </c>
      <c r="E38" s="86">
        <v>0.16</v>
      </c>
      <c r="F38" s="84">
        <f t="shared" si="5"/>
        <v>622.43</v>
      </c>
      <c r="G38" s="78">
        <f>108.89+128.7+2835+1440</f>
        <v>4512.59</v>
      </c>
      <c r="H38" s="76"/>
      <c r="I38" s="56"/>
      <c r="J38" s="92"/>
      <c r="K38" s="56" t="s">
        <v>51</v>
      </c>
      <c r="L38" s="85"/>
      <c r="M38" s="85"/>
      <c r="N38" s="93"/>
    </row>
    <row r="39" s="1" customFormat="1" ht="18" customHeight="1" spans="1:14">
      <c r="A39" s="70" t="s">
        <v>22</v>
      </c>
      <c r="B39" s="84">
        <f t="shared" si="4"/>
        <v>6487.93</v>
      </c>
      <c r="C39" s="87">
        <v>5</v>
      </c>
      <c r="D39" s="85" t="s">
        <v>43</v>
      </c>
      <c r="E39" s="86">
        <v>0.16</v>
      </c>
      <c r="F39" s="84">
        <f t="shared" si="5"/>
        <v>1038.07</v>
      </c>
      <c r="G39" s="78">
        <f>1900+966+325+2920+1415</f>
        <v>7526</v>
      </c>
      <c r="H39" s="76"/>
      <c r="I39" s="56"/>
      <c r="J39" s="92"/>
      <c r="K39" s="56" t="s">
        <v>52</v>
      </c>
      <c r="L39" s="85"/>
      <c r="M39" s="85"/>
      <c r="N39" s="93"/>
    </row>
    <row r="40" s="1" customFormat="1" ht="18" customHeight="1" spans="1:14">
      <c r="A40" s="70" t="s">
        <v>22</v>
      </c>
      <c r="B40" s="84">
        <f t="shared" si="4"/>
        <v>7727.27</v>
      </c>
      <c r="C40" s="87">
        <v>3</v>
      </c>
      <c r="D40" s="85" t="s">
        <v>43</v>
      </c>
      <c r="E40" s="86">
        <v>0.1</v>
      </c>
      <c r="F40" s="84">
        <f t="shared" si="5"/>
        <v>772.73</v>
      </c>
      <c r="G40" s="78">
        <v>8500</v>
      </c>
      <c r="H40" s="76"/>
      <c r="I40" s="56"/>
      <c r="J40" s="92"/>
      <c r="K40" s="56" t="s">
        <v>53</v>
      </c>
      <c r="L40" s="85"/>
      <c r="M40" s="85"/>
      <c r="N40" s="93"/>
    </row>
    <row r="41" s="1" customFormat="1" ht="18" customHeight="1" spans="1:14">
      <c r="A41" s="70" t="s">
        <v>22</v>
      </c>
      <c r="B41" s="84">
        <f t="shared" si="4"/>
        <v>769.22</v>
      </c>
      <c r="C41" s="87">
        <v>5</v>
      </c>
      <c r="D41" s="85" t="s">
        <v>43</v>
      </c>
      <c r="E41" s="86">
        <v>0.16</v>
      </c>
      <c r="F41" s="84">
        <f t="shared" si="5"/>
        <v>123.07</v>
      </c>
      <c r="G41" s="78">
        <f>344.84+136.45+411</f>
        <v>892.29</v>
      </c>
      <c r="H41" s="76"/>
      <c r="I41" s="56"/>
      <c r="J41" s="92"/>
      <c r="K41" s="56" t="s">
        <v>54</v>
      </c>
      <c r="L41" s="85"/>
      <c r="M41" s="85"/>
      <c r="N41" s="93"/>
    </row>
    <row r="42" s="1" customFormat="1" ht="18" customHeight="1" spans="1:14">
      <c r="A42" s="70" t="s">
        <v>22</v>
      </c>
      <c r="B42" s="84">
        <f t="shared" si="4"/>
        <v>17888.68</v>
      </c>
      <c r="C42" s="87">
        <v>5</v>
      </c>
      <c r="D42" s="85" t="s">
        <v>43</v>
      </c>
      <c r="E42" s="86">
        <v>0.06</v>
      </c>
      <c r="F42" s="84">
        <f t="shared" si="5"/>
        <v>1073.32</v>
      </c>
      <c r="G42" s="78">
        <f>6350+2800+1400+2000+6412</f>
        <v>18962</v>
      </c>
      <c r="H42" s="76"/>
      <c r="I42" s="56"/>
      <c r="J42" s="92"/>
      <c r="K42" s="56" t="s">
        <v>55</v>
      </c>
      <c r="L42" s="85"/>
      <c r="M42" s="85"/>
      <c r="N42" s="93"/>
    </row>
    <row r="43" s="1" customFormat="1" ht="18" customHeight="1" spans="1:14">
      <c r="A43" s="70" t="s">
        <v>22</v>
      </c>
      <c r="B43" s="84">
        <f t="shared" si="4"/>
        <v>282925</v>
      </c>
      <c r="C43" s="87">
        <v>27</v>
      </c>
      <c r="D43" s="85" t="s">
        <v>56</v>
      </c>
      <c r="E43" s="86">
        <v>0</v>
      </c>
      <c r="F43" s="84">
        <f t="shared" si="5"/>
        <v>0</v>
      </c>
      <c r="G43" s="78">
        <f>7875+7700+8125+6875+9660+7560+9240+7200+13000+9425+6000+12500+17500+34000+8500+9500+7000+6500+8500+9500+7500+9040+22600+9000+9600+9600+9425</f>
        <v>282925</v>
      </c>
      <c r="H43" s="76"/>
      <c r="I43" s="56"/>
      <c r="J43" s="92"/>
      <c r="K43" s="56" t="s">
        <v>57</v>
      </c>
      <c r="L43" s="85"/>
      <c r="M43" s="85"/>
      <c r="N43" s="93"/>
    </row>
    <row r="44" s="1" customFormat="1" ht="18" customHeight="1" spans="1:14">
      <c r="A44" s="70" t="s">
        <v>22</v>
      </c>
      <c r="B44" s="84">
        <f t="shared" si="4"/>
        <v>137415.41</v>
      </c>
      <c r="C44" s="87"/>
      <c r="D44" s="85" t="s">
        <v>56</v>
      </c>
      <c r="E44" s="86">
        <v>0</v>
      </c>
      <c r="F44" s="84">
        <f t="shared" si="5"/>
        <v>0</v>
      </c>
      <c r="G44" s="78">
        <v>137415.41</v>
      </c>
      <c r="H44" s="76"/>
      <c r="I44" s="56"/>
      <c r="J44" s="92"/>
      <c r="K44" s="56" t="s">
        <v>58</v>
      </c>
      <c r="L44" s="85"/>
      <c r="M44" s="85"/>
      <c r="N44" s="93"/>
    </row>
    <row r="45" s="1" customFormat="1" ht="18" customHeight="1" spans="1:14">
      <c r="A45" s="70" t="s">
        <v>22</v>
      </c>
      <c r="B45" s="84">
        <f t="shared" si="4"/>
        <v>138261.68</v>
      </c>
      <c r="C45" s="87"/>
      <c r="D45" s="85" t="s">
        <v>56</v>
      </c>
      <c r="E45" s="86">
        <v>0</v>
      </c>
      <c r="F45" s="84">
        <f t="shared" si="5"/>
        <v>0</v>
      </c>
      <c r="G45" s="78">
        <v>138261.68</v>
      </c>
      <c r="H45" s="76"/>
      <c r="I45" s="56"/>
      <c r="J45" s="92"/>
      <c r="K45" s="56" t="s">
        <v>58</v>
      </c>
      <c r="L45" s="85"/>
      <c r="M45" s="85"/>
      <c r="N45" s="93"/>
    </row>
    <row r="46" s="1" customFormat="1" ht="18" customHeight="1" spans="1:14">
      <c r="A46" s="70" t="s">
        <v>59</v>
      </c>
      <c r="B46" s="84">
        <f t="shared" si="4"/>
        <v>7569</v>
      </c>
      <c r="C46" s="87">
        <v>106</v>
      </c>
      <c r="D46" s="85" t="s">
        <v>56</v>
      </c>
      <c r="E46" s="86">
        <v>0</v>
      </c>
      <c r="F46" s="84">
        <f t="shared" si="5"/>
        <v>0</v>
      </c>
      <c r="G46" s="78">
        <v>7569</v>
      </c>
      <c r="H46" s="76"/>
      <c r="I46" s="56"/>
      <c r="J46" s="92"/>
      <c r="K46" s="56" t="s">
        <v>60</v>
      </c>
      <c r="L46" s="85"/>
      <c r="M46" s="85"/>
      <c r="N46" s="93"/>
    </row>
    <row r="47" s="1" customFormat="1" ht="18" customHeight="1" spans="1:14">
      <c r="A47" s="70" t="s">
        <v>59</v>
      </c>
      <c r="B47" s="84">
        <f t="shared" si="4"/>
        <v>12362.07</v>
      </c>
      <c r="C47" s="87">
        <v>1</v>
      </c>
      <c r="D47" s="85" t="s">
        <v>43</v>
      </c>
      <c r="E47" s="86">
        <v>0.16</v>
      </c>
      <c r="F47" s="84">
        <f t="shared" si="5"/>
        <v>1977.93</v>
      </c>
      <c r="G47" s="78">
        <v>14340</v>
      </c>
      <c r="H47" s="76"/>
      <c r="I47" s="56"/>
      <c r="J47" s="92" t="s">
        <v>61</v>
      </c>
      <c r="K47" s="56" t="s">
        <v>62</v>
      </c>
      <c r="L47" s="85"/>
      <c r="M47" s="85"/>
      <c r="N47" s="93"/>
    </row>
    <row r="48" s="1" customFormat="1" ht="18" customHeight="1" spans="1:14">
      <c r="A48" s="70" t="s">
        <v>59</v>
      </c>
      <c r="B48" s="84">
        <f t="shared" si="4"/>
        <v>89327.59</v>
      </c>
      <c r="C48" s="87">
        <v>1</v>
      </c>
      <c r="D48" s="85" t="s">
        <v>43</v>
      </c>
      <c r="E48" s="86">
        <v>0.16</v>
      </c>
      <c r="F48" s="84">
        <f t="shared" si="5"/>
        <v>14292.41</v>
      </c>
      <c r="G48" s="78">
        <v>103620</v>
      </c>
      <c r="H48" s="76"/>
      <c r="I48" s="56"/>
      <c r="J48" s="92" t="s">
        <v>63</v>
      </c>
      <c r="K48" s="56" t="s">
        <v>64</v>
      </c>
      <c r="L48" s="85"/>
      <c r="M48" s="85"/>
      <c r="N48" s="93"/>
    </row>
    <row r="49" s="1" customFormat="1" ht="18" customHeight="1" spans="1:14">
      <c r="A49" s="70" t="s">
        <v>59</v>
      </c>
      <c r="B49" s="84">
        <f t="shared" si="4"/>
        <v>98670</v>
      </c>
      <c r="C49" s="87">
        <v>11</v>
      </c>
      <c r="D49" s="85" t="s">
        <v>56</v>
      </c>
      <c r="E49" s="86">
        <v>0</v>
      </c>
      <c r="F49" s="84">
        <f t="shared" si="5"/>
        <v>0</v>
      </c>
      <c r="G49" s="78">
        <f>5350+15730+7480+6610+8000+8000+8000+8000+8500+7000+16000</f>
        <v>98670</v>
      </c>
      <c r="H49" s="76"/>
      <c r="I49" s="56"/>
      <c r="J49" s="92"/>
      <c r="K49" s="56" t="s">
        <v>65</v>
      </c>
      <c r="L49" s="85"/>
      <c r="M49" s="85"/>
      <c r="N49" s="93"/>
    </row>
    <row r="50" s="1" customFormat="1" ht="18" customHeight="1" spans="1:14">
      <c r="A50" s="70" t="s">
        <v>59</v>
      </c>
      <c r="B50" s="84">
        <f t="shared" si="4"/>
        <v>100960</v>
      </c>
      <c r="C50" s="87">
        <v>10</v>
      </c>
      <c r="D50" s="85" t="s">
        <v>56</v>
      </c>
      <c r="E50" s="86">
        <v>0</v>
      </c>
      <c r="F50" s="84">
        <f t="shared" si="5"/>
        <v>0</v>
      </c>
      <c r="G50" s="78">
        <f>10240+10240+10240+10260+8748+10240+10272+10240+10240+10240</f>
        <v>100960</v>
      </c>
      <c r="H50" s="76"/>
      <c r="I50" s="56"/>
      <c r="J50" s="92"/>
      <c r="K50" s="56" t="s">
        <v>66</v>
      </c>
      <c r="L50" s="85"/>
      <c r="M50" s="85"/>
      <c r="N50" s="93"/>
    </row>
    <row r="51" s="1" customFormat="1" ht="18" customHeight="1" spans="1:14">
      <c r="A51" s="70" t="s">
        <v>59</v>
      </c>
      <c r="B51" s="84">
        <f t="shared" si="4"/>
        <v>2775</v>
      </c>
      <c r="C51" s="87">
        <v>19</v>
      </c>
      <c r="D51" s="85" t="s">
        <v>56</v>
      </c>
      <c r="E51" s="86">
        <v>0</v>
      </c>
      <c r="F51" s="84">
        <f t="shared" si="5"/>
        <v>0</v>
      </c>
      <c r="G51" s="78">
        <v>2775</v>
      </c>
      <c r="H51" s="76"/>
      <c r="I51" s="56"/>
      <c r="J51" s="92"/>
      <c r="K51" s="56" t="s">
        <v>67</v>
      </c>
      <c r="L51" s="85"/>
      <c r="M51" s="85"/>
      <c r="N51" s="93"/>
    </row>
    <row r="52" s="1" customFormat="1" ht="18" customHeight="1" spans="1:14">
      <c r="A52" s="70" t="s">
        <v>59</v>
      </c>
      <c r="B52" s="84">
        <f t="shared" si="4"/>
        <v>12343</v>
      </c>
      <c r="C52" s="87">
        <v>107</v>
      </c>
      <c r="D52" s="85" t="s">
        <v>56</v>
      </c>
      <c r="E52" s="86">
        <v>0</v>
      </c>
      <c r="F52" s="84">
        <f t="shared" si="5"/>
        <v>0</v>
      </c>
      <c r="G52" s="78">
        <v>12343</v>
      </c>
      <c r="H52" s="76"/>
      <c r="I52" s="56"/>
      <c r="J52" s="92"/>
      <c r="K52" s="56" t="s">
        <v>68</v>
      </c>
      <c r="L52" s="85"/>
      <c r="M52" s="85"/>
      <c r="N52" s="93"/>
    </row>
    <row r="53" s="1" customFormat="1" ht="18" customHeight="1" spans="1:14">
      <c r="A53" s="70" t="s">
        <v>59</v>
      </c>
      <c r="B53" s="84">
        <f t="shared" si="4"/>
        <v>12185</v>
      </c>
      <c r="C53" s="87">
        <v>13</v>
      </c>
      <c r="D53" s="85" t="s">
        <v>56</v>
      </c>
      <c r="E53" s="86">
        <v>0</v>
      </c>
      <c r="F53" s="84">
        <f t="shared" si="5"/>
        <v>0</v>
      </c>
      <c r="G53" s="78">
        <v>12185</v>
      </c>
      <c r="H53" s="76"/>
      <c r="I53" s="56"/>
      <c r="J53" s="92"/>
      <c r="K53" s="56" t="s">
        <v>69</v>
      </c>
      <c r="L53" s="85"/>
      <c r="M53" s="85"/>
      <c r="N53" s="93"/>
    </row>
    <row r="54" s="1" customFormat="1" ht="18" customHeight="1" spans="1:14">
      <c r="A54" s="70" t="s">
        <v>70</v>
      </c>
      <c r="B54" s="84">
        <f t="shared" si="4"/>
        <v>19000</v>
      </c>
      <c r="C54" s="87">
        <v>1</v>
      </c>
      <c r="D54" s="85" t="s">
        <v>56</v>
      </c>
      <c r="E54" s="86">
        <v>0</v>
      </c>
      <c r="F54" s="84">
        <f t="shared" si="5"/>
        <v>0</v>
      </c>
      <c r="G54" s="78">
        <v>19000</v>
      </c>
      <c r="H54" s="76" t="s">
        <v>22</v>
      </c>
      <c r="I54" s="94">
        <v>1040251.09</v>
      </c>
      <c r="J54" s="92" t="s">
        <v>71</v>
      </c>
      <c r="K54" s="56" t="s">
        <v>72</v>
      </c>
      <c r="L54" s="85"/>
      <c r="M54" s="85"/>
      <c r="N54" s="93"/>
    </row>
    <row r="55" ht="18" customHeight="1" spans="1:14">
      <c r="A55" s="70" t="s">
        <v>70</v>
      </c>
      <c r="B55" s="84">
        <f t="shared" si="4"/>
        <v>33672</v>
      </c>
      <c r="C55" s="87">
        <v>34</v>
      </c>
      <c r="D55" s="85" t="s">
        <v>56</v>
      </c>
      <c r="E55" s="86">
        <v>0</v>
      </c>
      <c r="F55" s="84">
        <f t="shared" si="5"/>
        <v>0</v>
      </c>
      <c r="G55" s="78">
        <v>33672</v>
      </c>
      <c r="H55" s="76" t="s">
        <v>73</v>
      </c>
      <c r="I55" s="94">
        <v>529666.75</v>
      </c>
      <c r="J55" s="92" t="s">
        <v>71</v>
      </c>
      <c r="K55" s="56" t="s">
        <v>74</v>
      </c>
      <c r="L55" s="95"/>
      <c r="M55" s="95"/>
      <c r="N55" s="55"/>
    </row>
    <row r="56" ht="18" customHeight="1" spans="1:14">
      <c r="A56" s="70" t="s">
        <v>75</v>
      </c>
      <c r="B56" s="84">
        <f t="shared" si="4"/>
        <v>2830.19</v>
      </c>
      <c r="C56" s="87">
        <v>1</v>
      </c>
      <c r="D56" s="85" t="s">
        <v>43</v>
      </c>
      <c r="E56" s="86">
        <v>0.06</v>
      </c>
      <c r="F56" s="84">
        <f t="shared" si="5"/>
        <v>169.81</v>
      </c>
      <c r="G56" s="78">
        <v>3000</v>
      </c>
      <c r="H56" s="76" t="s">
        <v>25</v>
      </c>
      <c r="I56" s="94">
        <v>316292.19</v>
      </c>
      <c r="J56" s="92" t="s">
        <v>71</v>
      </c>
      <c r="K56" s="56" t="s">
        <v>76</v>
      </c>
      <c r="L56" s="95"/>
      <c r="M56" s="95"/>
      <c r="N56" s="55"/>
    </row>
    <row r="57" ht="18" customHeight="1" spans="1:14">
      <c r="A57" s="70" t="s">
        <v>77</v>
      </c>
      <c r="B57" s="84">
        <f t="shared" si="4"/>
        <v>2320</v>
      </c>
      <c r="C57" s="87">
        <v>21</v>
      </c>
      <c r="D57" s="85" t="s">
        <v>56</v>
      </c>
      <c r="E57" s="86">
        <v>0</v>
      </c>
      <c r="F57" s="84">
        <f t="shared" si="5"/>
        <v>0</v>
      </c>
      <c r="G57" s="78">
        <v>2320</v>
      </c>
      <c r="H57" s="76"/>
      <c r="I57" s="56"/>
      <c r="J57" s="96"/>
      <c r="K57" s="56" t="s">
        <v>78</v>
      </c>
      <c r="L57" s="95"/>
      <c r="M57" s="95"/>
      <c r="N57" s="55"/>
    </row>
    <row r="58" ht="18" customHeight="1" spans="1:14">
      <c r="A58" s="70" t="s">
        <v>27</v>
      </c>
      <c r="B58" s="84">
        <f t="shared" si="4"/>
        <v>569724.77</v>
      </c>
      <c r="C58" s="87">
        <v>6</v>
      </c>
      <c r="D58" s="85" t="s">
        <v>43</v>
      </c>
      <c r="E58" s="86">
        <v>0.09</v>
      </c>
      <c r="F58" s="84">
        <f t="shared" si="5"/>
        <v>51275.23</v>
      </c>
      <c r="G58" s="78">
        <f>108900*5+76500</f>
        <v>621000</v>
      </c>
      <c r="H58" s="76" t="s">
        <v>27</v>
      </c>
      <c r="I58" s="56">
        <v>597325.7</v>
      </c>
      <c r="J58" s="96" t="s">
        <v>79</v>
      </c>
      <c r="K58" s="56">
        <v>2445904</v>
      </c>
      <c r="L58" s="95"/>
      <c r="M58" s="95"/>
      <c r="N58" s="55"/>
    </row>
    <row r="59" ht="18" customHeight="1" spans="1:14">
      <c r="A59" s="70"/>
      <c r="B59" s="84">
        <f t="shared" si="4"/>
        <v>1394495.41</v>
      </c>
      <c r="C59" s="87"/>
      <c r="D59" s="85" t="s">
        <v>43</v>
      </c>
      <c r="E59" s="86">
        <v>0.09</v>
      </c>
      <c r="F59" s="84">
        <f t="shared" si="5"/>
        <v>125504.59</v>
      </c>
      <c r="G59" s="78">
        <v>1520000</v>
      </c>
      <c r="H59" s="76"/>
      <c r="I59" s="56"/>
      <c r="J59" s="96" t="s">
        <v>79</v>
      </c>
      <c r="K59" s="56"/>
      <c r="L59" s="95"/>
      <c r="M59" s="95"/>
      <c r="N59" s="55"/>
    </row>
    <row r="60" ht="18" customHeight="1" spans="1:14">
      <c r="A60" s="70"/>
      <c r="B60" s="84">
        <f t="shared" si="4"/>
        <v>0</v>
      </c>
      <c r="C60" s="87"/>
      <c r="D60" s="85"/>
      <c r="E60" s="86">
        <v>0</v>
      </c>
      <c r="F60" s="84">
        <f t="shared" si="5"/>
        <v>0</v>
      </c>
      <c r="G60" s="78"/>
      <c r="H60" s="76"/>
      <c r="I60" s="56"/>
      <c r="J60" s="96"/>
      <c r="K60" s="56"/>
      <c r="L60" s="95"/>
      <c r="M60" s="95"/>
      <c r="N60" s="55"/>
    </row>
    <row r="61" ht="18" customHeight="1" spans="1:14">
      <c r="A61" s="70"/>
      <c r="B61" s="84">
        <f t="shared" si="4"/>
        <v>0</v>
      </c>
      <c r="C61" s="87"/>
      <c r="D61" s="85"/>
      <c r="E61" s="86"/>
      <c r="F61" s="84">
        <f t="shared" si="5"/>
        <v>0</v>
      </c>
      <c r="G61" s="78"/>
      <c r="H61" s="76"/>
      <c r="I61" s="56"/>
      <c r="J61" s="96"/>
      <c r="K61" s="56"/>
      <c r="L61" s="95"/>
      <c r="M61" s="95"/>
      <c r="N61" s="55"/>
    </row>
    <row r="62" ht="18" customHeight="1" spans="1:14">
      <c r="A62" s="70"/>
      <c r="B62" s="84">
        <f t="shared" si="4"/>
        <v>0</v>
      </c>
      <c r="C62" s="87"/>
      <c r="D62" s="85"/>
      <c r="E62" s="86"/>
      <c r="F62" s="84">
        <f t="shared" si="5"/>
        <v>0</v>
      </c>
      <c r="G62" s="78"/>
      <c r="H62" s="76"/>
      <c r="I62" s="56"/>
      <c r="J62" s="96"/>
      <c r="K62" s="56"/>
      <c r="L62" s="95"/>
      <c r="M62" s="95"/>
      <c r="N62" s="55"/>
    </row>
    <row r="63" ht="18" customHeight="1" spans="1:14">
      <c r="A63" s="70"/>
      <c r="B63" s="84">
        <f t="shared" si="4"/>
        <v>0</v>
      </c>
      <c r="C63" s="87"/>
      <c r="D63" s="85"/>
      <c r="E63" s="86"/>
      <c r="F63" s="84">
        <f t="shared" si="5"/>
        <v>0</v>
      </c>
      <c r="G63" s="78"/>
      <c r="H63" s="76"/>
      <c r="I63" s="56"/>
      <c r="J63" s="96"/>
      <c r="K63" s="56"/>
      <c r="L63" s="95"/>
      <c r="M63" s="95"/>
      <c r="N63" s="55"/>
    </row>
    <row r="64" ht="18" customHeight="1" spans="1:14">
      <c r="A64" s="70"/>
      <c r="B64" s="84">
        <f t="shared" si="4"/>
        <v>0</v>
      </c>
      <c r="C64" s="87"/>
      <c r="D64" s="85"/>
      <c r="E64" s="86"/>
      <c r="F64" s="84">
        <f t="shared" si="5"/>
        <v>0</v>
      </c>
      <c r="G64" s="78"/>
      <c r="H64" s="76"/>
      <c r="I64" s="56"/>
      <c r="J64" s="96"/>
      <c r="K64" s="56"/>
      <c r="L64" s="95"/>
      <c r="M64" s="95"/>
      <c r="N64" s="55"/>
    </row>
    <row r="65" ht="18" customHeight="1" spans="1:14">
      <c r="A65" s="70"/>
      <c r="B65" s="84">
        <f t="shared" si="4"/>
        <v>0</v>
      </c>
      <c r="C65" s="87"/>
      <c r="D65" s="85"/>
      <c r="E65" s="86"/>
      <c r="F65" s="84">
        <f t="shared" si="5"/>
        <v>0</v>
      </c>
      <c r="G65" s="78"/>
      <c r="H65" s="76"/>
      <c r="I65" s="56"/>
      <c r="J65" s="96"/>
      <c r="K65" s="56"/>
      <c r="L65" s="95"/>
      <c r="M65" s="95"/>
      <c r="N65" s="55"/>
    </row>
    <row r="66" ht="18" customHeight="1" spans="1:14">
      <c r="A66" s="70"/>
      <c r="B66" s="84">
        <f t="shared" si="4"/>
        <v>100</v>
      </c>
      <c r="C66" s="87"/>
      <c r="D66" s="85"/>
      <c r="E66" s="86"/>
      <c r="F66" s="84">
        <f t="shared" si="5"/>
        <v>0</v>
      </c>
      <c r="G66" s="78">
        <v>100</v>
      </c>
      <c r="H66" s="76" t="s">
        <v>27</v>
      </c>
      <c r="I66" s="103">
        <v>100</v>
      </c>
      <c r="J66" s="96" t="s">
        <v>80</v>
      </c>
      <c r="K66" s="56"/>
      <c r="L66" s="95"/>
      <c r="M66" s="95"/>
      <c r="N66" s="55"/>
    </row>
    <row r="67" ht="18" customHeight="1" spans="1:14">
      <c r="A67" s="70"/>
      <c r="B67" s="84">
        <f t="shared" si="4"/>
        <v>13527.1</v>
      </c>
      <c r="C67" s="87"/>
      <c r="D67" s="85"/>
      <c r="E67" s="86"/>
      <c r="F67" s="84">
        <f t="shared" si="5"/>
        <v>0</v>
      </c>
      <c r="G67" s="78">
        <v>13527.1</v>
      </c>
      <c r="H67" s="76" t="s">
        <v>27</v>
      </c>
      <c r="I67" s="103">
        <v>13527.1</v>
      </c>
      <c r="J67" s="96" t="s">
        <v>81</v>
      </c>
      <c r="K67" s="56"/>
      <c r="L67" s="95"/>
      <c r="M67" s="95"/>
      <c r="N67" s="55"/>
    </row>
    <row r="68" ht="18" customHeight="1" spans="1:14">
      <c r="A68" s="70"/>
      <c r="B68" s="84">
        <f t="shared" si="4"/>
        <v>7095.98</v>
      </c>
      <c r="C68" s="87"/>
      <c r="D68" s="85"/>
      <c r="E68" s="86"/>
      <c r="F68" s="84">
        <f t="shared" si="5"/>
        <v>0</v>
      </c>
      <c r="G68" s="78">
        <v>7095.98</v>
      </c>
      <c r="H68" s="76" t="s">
        <v>82</v>
      </c>
      <c r="I68" s="103">
        <v>7095.98</v>
      </c>
      <c r="J68" s="96" t="s">
        <v>81</v>
      </c>
      <c r="K68" s="56"/>
      <c r="L68" s="95"/>
      <c r="M68" s="95"/>
      <c r="N68" s="55"/>
    </row>
    <row r="69" ht="18" customHeight="1" spans="1:14">
      <c r="A69" s="70"/>
      <c r="B69" s="84">
        <f t="shared" si="4"/>
        <v>35220.9</v>
      </c>
      <c r="C69" s="87"/>
      <c r="D69" s="85"/>
      <c r="E69" s="86"/>
      <c r="F69" s="84">
        <f t="shared" si="5"/>
        <v>0</v>
      </c>
      <c r="G69" s="78">
        <v>35220.9</v>
      </c>
      <c r="H69" s="76" t="s">
        <v>22</v>
      </c>
      <c r="I69" s="103">
        <v>35220.9</v>
      </c>
      <c r="J69" s="96" t="s">
        <v>81</v>
      </c>
      <c r="K69" s="56"/>
      <c r="L69" s="95"/>
      <c r="M69" s="95"/>
      <c r="N69" s="55"/>
    </row>
    <row r="70" ht="18" customHeight="1" spans="1:14">
      <c r="A70" s="70"/>
      <c r="B70" s="84">
        <f t="shared" si="4"/>
        <v>0</v>
      </c>
      <c r="C70" s="87"/>
      <c r="D70" s="85"/>
      <c r="E70" s="86"/>
      <c r="F70" s="84">
        <f t="shared" si="5"/>
        <v>0</v>
      </c>
      <c r="G70" s="78"/>
      <c r="H70" s="76" t="s">
        <v>27</v>
      </c>
      <c r="I70" s="103">
        <f>G15*0.05</f>
        <v>32155.4115</v>
      </c>
      <c r="J70" s="96"/>
      <c r="K70" s="56"/>
      <c r="L70" s="95"/>
      <c r="M70" s="95"/>
      <c r="N70" s="55"/>
    </row>
    <row r="71" ht="18" customHeight="1" spans="1:14">
      <c r="A71" s="70"/>
      <c r="B71" s="84">
        <f t="shared" si="4"/>
        <v>0</v>
      </c>
      <c r="C71" s="87"/>
      <c r="D71" s="85"/>
      <c r="E71" s="86"/>
      <c r="F71" s="84">
        <f t="shared" si="5"/>
        <v>0</v>
      </c>
      <c r="G71" s="78"/>
      <c r="H71" s="76" t="s">
        <v>83</v>
      </c>
      <c r="I71" s="103">
        <v>17020.43</v>
      </c>
      <c r="J71" s="96" t="s">
        <v>84</v>
      </c>
      <c r="K71" s="56"/>
      <c r="L71" s="95"/>
      <c r="M71" s="95"/>
      <c r="N71" s="55"/>
    </row>
    <row r="72" ht="18" customHeight="1" spans="1:14">
      <c r="A72" s="70"/>
      <c r="B72" s="84">
        <f t="shared" si="4"/>
        <v>231368.56</v>
      </c>
      <c r="C72" s="87"/>
      <c r="D72" s="85"/>
      <c r="E72" s="86"/>
      <c r="F72" s="84">
        <f t="shared" si="5"/>
        <v>0</v>
      </c>
      <c r="G72" s="97">
        <f>G27*0.05</f>
        <v>231368.5555</v>
      </c>
      <c r="H72" s="76" t="s">
        <v>85</v>
      </c>
      <c r="I72" s="104">
        <v>56603.7885</v>
      </c>
      <c r="J72" s="96" t="s">
        <v>84</v>
      </c>
      <c r="K72" s="56"/>
      <c r="L72" s="95"/>
      <c r="M72" s="95"/>
      <c r="N72" s="55"/>
    </row>
    <row r="73" ht="18" customHeight="1" spans="1:14">
      <c r="A73" s="70"/>
      <c r="B73" s="84">
        <f t="shared" si="4"/>
        <v>0</v>
      </c>
      <c r="C73" s="87"/>
      <c r="D73" s="85"/>
      <c r="E73" s="86"/>
      <c r="F73" s="84">
        <f t="shared" si="5"/>
        <v>0</v>
      </c>
      <c r="G73" s="78"/>
      <c r="H73" s="76" t="s">
        <v>86</v>
      </c>
      <c r="I73" s="104">
        <v>27877.197</v>
      </c>
      <c r="J73" s="96" t="s">
        <v>84</v>
      </c>
      <c r="K73" s="56"/>
      <c r="L73" s="95"/>
      <c r="M73" s="95"/>
      <c r="N73" s="55"/>
    </row>
    <row r="74" ht="18" customHeight="1" spans="1:14">
      <c r="A74" s="70"/>
      <c r="B74" s="84">
        <f t="shared" si="4"/>
        <v>0</v>
      </c>
      <c r="C74" s="87"/>
      <c r="D74" s="85"/>
      <c r="E74" s="86"/>
      <c r="F74" s="84">
        <f t="shared" si="5"/>
        <v>0</v>
      </c>
      <c r="G74" s="78"/>
      <c r="H74" s="76"/>
      <c r="I74" s="56"/>
      <c r="J74" s="96"/>
      <c r="K74" s="56"/>
      <c r="L74" s="95"/>
      <c r="M74" s="95"/>
      <c r="N74" s="55"/>
    </row>
    <row r="75" ht="18" customHeight="1" spans="1:13">
      <c r="A75" s="81" t="s">
        <v>28</v>
      </c>
      <c r="B75" s="80">
        <f t="shared" ref="B75:G75" si="6">SUM(B31:B74)</f>
        <v>3981436.24</v>
      </c>
      <c r="C75" s="81"/>
      <c r="D75" s="98"/>
      <c r="E75" s="98"/>
      <c r="F75" s="82">
        <f t="shared" si="6"/>
        <v>314461.67</v>
      </c>
      <c r="G75" s="81">
        <f t="shared" si="6"/>
        <v>4295897.9055</v>
      </c>
      <c r="H75" s="55"/>
      <c r="I75" s="56">
        <f>SUM(I30:I74)</f>
        <v>2673136.537</v>
      </c>
      <c r="J75" s="105"/>
      <c r="L75" s="106"/>
      <c r="M75" s="106"/>
    </row>
    <row r="76" ht="18" customHeight="1" spans="1:10">
      <c r="A76" s="99"/>
      <c r="B76" s="99">
        <f>B27-B75</f>
        <v>246927.344570476</v>
      </c>
      <c r="C76" s="99"/>
      <c r="D76" s="100"/>
      <c r="E76" s="100"/>
      <c r="F76" s="99">
        <f>F27-F75</f>
        <v>-21.4162618849659</v>
      </c>
      <c r="G76" s="99"/>
      <c r="H76" s="4"/>
      <c r="I76" s="3">
        <f>I27-I75</f>
        <v>0.00300000049173832</v>
      </c>
      <c r="J76" s="4">
        <f>F76/0.09*1.09</f>
        <v>-259.374727273476</v>
      </c>
    </row>
    <row r="77" ht="18" customHeight="1" spans="1:7">
      <c r="A77" s="2" t="s">
        <v>87</v>
      </c>
      <c r="C77" s="2"/>
      <c r="F77" s="4"/>
      <c r="G77" s="4"/>
    </row>
    <row r="78" ht="18" customHeight="1" spans="1:7">
      <c r="A78" s="75" t="s">
        <v>88</v>
      </c>
      <c r="B78" s="74" t="s">
        <v>89</v>
      </c>
      <c r="C78" s="55"/>
      <c r="D78" s="75" t="s">
        <v>88</v>
      </c>
      <c r="E78" s="74" t="s">
        <v>17</v>
      </c>
      <c r="F78" s="74" t="s">
        <v>89</v>
      </c>
      <c r="G78" s="74" t="s">
        <v>90</v>
      </c>
    </row>
    <row r="79" ht="18" customHeight="1" spans="1:7">
      <c r="A79" s="55" t="s">
        <v>91</v>
      </c>
      <c r="B79" s="84">
        <f>(B27-B75)*0.25</f>
        <v>61731.8361426189</v>
      </c>
      <c r="C79" s="55"/>
      <c r="D79" s="69" t="s">
        <v>92</v>
      </c>
      <c r="E79" s="95" t="s">
        <v>93</v>
      </c>
      <c r="F79" s="101">
        <f>F27-F75</f>
        <v>-21.4162618849659</v>
      </c>
      <c r="G79" s="101"/>
    </row>
    <row r="80" ht="18" customHeight="1" spans="1:7">
      <c r="A80" s="55" t="s">
        <v>94</v>
      </c>
      <c r="B80" s="56">
        <f>G27*0.0003</f>
        <v>1388.211333</v>
      </c>
      <c r="C80" s="55"/>
      <c r="D80" s="102" t="s">
        <v>95</v>
      </c>
      <c r="E80" s="71">
        <v>0.05</v>
      </c>
      <c r="F80" s="56">
        <f>F79*E80</f>
        <v>-1.0708130942483</v>
      </c>
      <c r="G80" s="56"/>
    </row>
    <row r="81" ht="18" customHeight="1" spans="1:7">
      <c r="A81" s="55" t="s">
        <v>96</v>
      </c>
      <c r="B81" s="56">
        <f>B27*0.0006</f>
        <v>2537.01815074229</v>
      </c>
      <c r="C81" s="55"/>
      <c r="D81" s="102" t="s">
        <v>97</v>
      </c>
      <c r="E81" s="71">
        <v>0.03</v>
      </c>
      <c r="F81" s="56">
        <f>F79*E81</f>
        <v>-0.642487856548978</v>
      </c>
      <c r="G81" s="56"/>
    </row>
    <row r="82" ht="18" customHeight="1" spans="1:7">
      <c r="A82" s="55"/>
      <c r="B82" s="55"/>
      <c r="C82" s="55"/>
      <c r="D82" s="102" t="s">
        <v>98</v>
      </c>
      <c r="E82" s="71">
        <v>0.02</v>
      </c>
      <c r="F82" s="56">
        <f>F79*E82</f>
        <v>-0.428325237699319</v>
      </c>
      <c r="G82" s="56"/>
    </row>
    <row r="83" spans="1:7">
      <c r="A83" s="79" t="s">
        <v>99</v>
      </c>
      <c r="B83" s="80">
        <f>SUM(B79:B82)</f>
        <v>65657.0656263612</v>
      </c>
      <c r="C83" s="55"/>
      <c r="D83" s="79" t="s">
        <v>99</v>
      </c>
      <c r="E83" s="79"/>
      <c r="F83" s="82">
        <f>SUM(F79:F82)</f>
        <v>-23.5578880734625</v>
      </c>
      <c r="G83" s="82"/>
    </row>
    <row r="84" spans="3:7">
      <c r="C84" s="2"/>
      <c r="F84" s="4"/>
      <c r="G84" s="4"/>
    </row>
    <row r="85" spans="3:7">
      <c r="C85" s="2"/>
      <c r="F85" s="4"/>
      <c r="G85" s="4"/>
    </row>
    <row r="86" spans="3:7">
      <c r="C86" s="2"/>
      <c r="F86" s="4"/>
      <c r="G86" s="4"/>
    </row>
    <row r="87" spans="3:7">
      <c r="C87" s="2"/>
      <c r="F87" s="4"/>
      <c r="G87" s="4"/>
    </row>
    <row r="88" spans="3:7">
      <c r="C88" s="2"/>
      <c r="F88" s="4"/>
      <c r="G88" s="4"/>
    </row>
    <row r="89" spans="3:7">
      <c r="C89" s="2"/>
      <c r="F89" s="4"/>
      <c r="G89" s="4"/>
    </row>
    <row r="90" spans="3:7">
      <c r="C90" s="2"/>
      <c r="F90" s="4"/>
      <c r="G90" s="4"/>
    </row>
    <row r="91" spans="3:7">
      <c r="C91" s="2"/>
      <c r="F91" s="4"/>
      <c r="G91" s="4"/>
    </row>
    <row r="92" spans="3:7">
      <c r="C92" s="2"/>
      <c r="F92" s="4"/>
      <c r="G92" s="4"/>
    </row>
    <row r="93" spans="3:7">
      <c r="C93" s="2"/>
      <c r="F93" s="4"/>
      <c r="G93" s="4"/>
    </row>
    <row r="94" spans="3:7">
      <c r="C94" s="2"/>
      <c r="F94" s="4"/>
      <c r="G94" s="4"/>
    </row>
    <row r="95" spans="3:7">
      <c r="C95" s="2"/>
      <c r="F95" s="4"/>
      <c r="G95" s="4"/>
    </row>
    <row r="96" spans="3:7">
      <c r="C96" s="2"/>
      <c r="F96" s="4"/>
      <c r="G96" s="4"/>
    </row>
    <row r="97" spans="3:7">
      <c r="C97" s="2"/>
      <c r="F97" s="4"/>
      <c r="G97" s="4"/>
    </row>
    <row r="98" spans="3:7">
      <c r="C98" s="2"/>
      <c r="F98" s="4"/>
      <c r="G98" s="4"/>
    </row>
    <row r="99" spans="3:7">
      <c r="C99" s="2"/>
      <c r="F99" s="4"/>
      <c r="G99" s="4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  <row r="105" spans="3:3">
      <c r="C105" s="2"/>
    </row>
    <row r="106" spans="3:3">
      <c r="C106" s="2"/>
    </row>
    <row r="107" spans="3:3">
      <c r="C107" s="2"/>
    </row>
  </sheetData>
  <mergeCells count="8">
    <mergeCell ref="A1:I1"/>
    <mergeCell ref="H2:I2"/>
    <mergeCell ref="C5:D5"/>
    <mergeCell ref="E5:F5"/>
    <mergeCell ref="H5:I5"/>
    <mergeCell ref="A5:A6"/>
    <mergeCell ref="B5:B6"/>
    <mergeCell ref="G5:G6"/>
  </mergeCells>
  <pageMargins left="0.7" right="0.7" top="0.75" bottom="0.75" header="0.3" footer="0.3"/>
  <pageSetup paperSize="9" scale="71" orientation="portrait"/>
  <headerFooter/>
  <rowBreaks count="1" manualBreakCount="1">
    <brk id="76" max="16383" man="1"/>
  </rowBreaks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0"/>
  <sheetViews>
    <sheetView tabSelected="1" topLeftCell="A75" workbookViewId="0">
      <selection activeCell="J92" sqref="J92"/>
    </sheetView>
  </sheetViews>
  <sheetFormatPr defaultColWidth="9" defaultRowHeight="12"/>
  <cols>
    <col min="1" max="1" width="10.75" style="2" customWidth="1"/>
    <col min="2" max="2" width="13.25" style="3" customWidth="1"/>
    <col min="3" max="3" width="6.125" style="3" customWidth="1"/>
    <col min="4" max="4" width="11.625" style="3" customWidth="1"/>
    <col min="5" max="5" width="6.125" style="3" customWidth="1"/>
    <col min="6" max="6" width="11.375" style="3" customWidth="1"/>
    <col min="7" max="7" width="14.125" style="3" customWidth="1"/>
    <col min="8" max="8" width="9.625" style="3" customWidth="1"/>
    <col min="9" max="9" width="14.75" style="3" customWidth="1"/>
    <col min="10" max="10" width="21" style="4" customWidth="1"/>
    <col min="11" max="11" width="25" style="4" customWidth="1"/>
    <col min="12" max="12" width="22.25" style="4" customWidth="1"/>
    <col min="13" max="13" width="7.875" style="4" customWidth="1"/>
    <col min="14" max="14" width="33.75" style="4" customWidth="1"/>
    <col min="15" max="16384" width="9" style="4"/>
  </cols>
  <sheetData>
    <row r="1" ht="21.95" customHeight="1" spans="1:11">
      <c r="A1" s="5" t="s">
        <v>100</v>
      </c>
      <c r="B1" s="6"/>
      <c r="C1" s="6"/>
      <c r="D1" s="6"/>
      <c r="E1" s="6"/>
      <c r="F1" s="6"/>
      <c r="G1" s="6"/>
      <c r="H1" s="6"/>
      <c r="I1" s="6"/>
      <c r="J1" s="36"/>
      <c r="K1" s="36"/>
    </row>
    <row r="2" ht="18" customHeight="1" spans="1:14">
      <c r="A2" s="7" t="s">
        <v>1</v>
      </c>
      <c r="B2" s="8" t="s">
        <v>2</v>
      </c>
      <c r="C2" s="9" t="s">
        <v>3</v>
      </c>
      <c r="D2" s="9">
        <v>4896959.81</v>
      </c>
      <c r="E2" s="10" t="s">
        <v>4</v>
      </c>
      <c r="F2" s="9" t="s">
        <v>5</v>
      </c>
      <c r="G2" s="10" t="s">
        <v>6</v>
      </c>
      <c r="H2" s="11" t="s">
        <v>101</v>
      </c>
      <c r="I2" s="37"/>
      <c r="J2" s="14"/>
      <c r="K2" s="14"/>
      <c r="L2" s="28"/>
      <c r="M2" s="28"/>
      <c r="N2" s="28"/>
    </row>
    <row r="3" ht="18" customHeight="1" spans="1:14">
      <c r="A3" s="7" t="s">
        <v>8</v>
      </c>
      <c r="B3" s="12"/>
      <c r="C3" s="9" t="s">
        <v>9</v>
      </c>
      <c r="D3" s="9"/>
      <c r="E3" s="13"/>
      <c r="F3" s="13"/>
      <c r="G3" s="13"/>
      <c r="H3" s="14"/>
      <c r="I3" s="14"/>
      <c r="J3" s="14"/>
      <c r="K3" s="14"/>
      <c r="L3" s="28"/>
      <c r="M3" s="28"/>
      <c r="N3" s="28"/>
    </row>
    <row r="4" ht="18" customHeight="1" spans="1:14">
      <c r="A4" s="15" t="s">
        <v>10</v>
      </c>
      <c r="B4" s="13"/>
      <c r="C4" s="13"/>
      <c r="D4" s="13"/>
      <c r="E4" s="13"/>
      <c r="F4" s="13"/>
      <c r="G4" s="13"/>
      <c r="H4" s="14"/>
      <c r="I4" s="14"/>
      <c r="J4" s="14"/>
      <c r="K4" s="14"/>
      <c r="L4" s="28"/>
      <c r="M4" s="28"/>
      <c r="N4" s="28"/>
    </row>
    <row r="5" ht="18" customHeight="1" spans="1:14">
      <c r="A5" s="10" t="s">
        <v>11</v>
      </c>
      <c r="B5" s="10" t="s">
        <v>12</v>
      </c>
      <c r="C5" s="10" t="s">
        <v>13</v>
      </c>
      <c r="D5" s="10"/>
      <c r="E5" s="10" t="s">
        <v>14</v>
      </c>
      <c r="F5" s="10"/>
      <c r="G5" s="10" t="s">
        <v>15</v>
      </c>
      <c r="H5" s="16" t="s">
        <v>16</v>
      </c>
      <c r="I5" s="16"/>
      <c r="J5" s="28"/>
      <c r="K5" s="28"/>
      <c r="L5" s="28"/>
      <c r="M5" s="28"/>
      <c r="N5" s="28"/>
    </row>
    <row r="6" ht="18" customHeight="1" spans="1:14">
      <c r="A6" s="10"/>
      <c r="B6" s="10"/>
      <c r="C6" s="10" t="s">
        <v>17</v>
      </c>
      <c r="D6" s="10" t="s">
        <v>18</v>
      </c>
      <c r="E6" s="10" t="s">
        <v>17</v>
      </c>
      <c r="F6" s="10" t="s">
        <v>18</v>
      </c>
      <c r="G6" s="10"/>
      <c r="H6" s="16" t="s">
        <v>19</v>
      </c>
      <c r="I6" s="38" t="s">
        <v>20</v>
      </c>
      <c r="J6" s="28"/>
      <c r="K6" s="28"/>
      <c r="L6" s="28"/>
      <c r="M6" s="28"/>
      <c r="N6" s="28"/>
    </row>
    <row r="7" ht="18" customHeight="1" spans="1:14">
      <c r="A7" s="17" t="s">
        <v>102</v>
      </c>
      <c r="B7" s="9">
        <f t="shared" ref="B7:B8" si="0">G7/(1+C7+E7)</f>
        <v>120397.527272727</v>
      </c>
      <c r="C7" s="18">
        <v>0.02</v>
      </c>
      <c r="D7" s="9">
        <f t="shared" ref="D7:D8" si="1">G7/(1+E7+C7)*C7</f>
        <v>2407.95054545455</v>
      </c>
      <c r="E7" s="18">
        <v>0.08</v>
      </c>
      <c r="F7" s="19">
        <f t="shared" ref="F7:F8" si="2">G7/(1+C7+E7)*E7</f>
        <v>9631.80218181818</v>
      </c>
      <c r="G7" s="20">
        <v>132437.28</v>
      </c>
      <c r="H7" s="17" t="s">
        <v>103</v>
      </c>
      <c r="I7" s="39">
        <v>132437.28</v>
      </c>
      <c r="J7" s="28"/>
      <c r="K7" s="28"/>
      <c r="L7" s="28"/>
      <c r="M7" s="28"/>
      <c r="N7" s="28"/>
    </row>
    <row r="8" ht="18" customHeight="1" spans="1:14">
      <c r="A8" s="17" t="s">
        <v>102</v>
      </c>
      <c r="B8" s="9">
        <f t="shared" si="0"/>
        <v>209315.636363636</v>
      </c>
      <c r="C8" s="18">
        <v>0.02</v>
      </c>
      <c r="D8" s="9">
        <f t="shared" si="1"/>
        <v>4186.31272727273</v>
      </c>
      <c r="E8" s="18">
        <v>0.08</v>
      </c>
      <c r="F8" s="19">
        <f t="shared" si="2"/>
        <v>16745.2509090909</v>
      </c>
      <c r="G8" s="20">
        <v>230247.2</v>
      </c>
      <c r="H8" s="17" t="s">
        <v>103</v>
      </c>
      <c r="I8" s="39">
        <v>230247.2</v>
      </c>
      <c r="J8" s="28"/>
      <c r="K8" s="28"/>
      <c r="L8" s="28"/>
      <c r="M8" s="28"/>
      <c r="N8" s="28"/>
    </row>
    <row r="9" ht="18" customHeight="1" spans="1:14">
      <c r="A9" s="17" t="s">
        <v>102</v>
      </c>
      <c r="B9" s="9">
        <f t="shared" ref="B9:B26" si="3">G9/(1+C9+E9)</f>
        <v>699446.627272727</v>
      </c>
      <c r="C9" s="18">
        <v>0.02</v>
      </c>
      <c r="D9" s="9">
        <f t="shared" ref="D9:D26" si="4">G9/(1+E9+C9)*C9</f>
        <v>13988.9325454545</v>
      </c>
      <c r="E9" s="18">
        <v>0.08</v>
      </c>
      <c r="F9" s="19">
        <f t="shared" ref="F9:F26" si="5">G9/(1+C9+E9)*E9</f>
        <v>55955.7301818182</v>
      </c>
      <c r="G9" s="20">
        <v>769391.29</v>
      </c>
      <c r="H9" s="17" t="s">
        <v>103</v>
      </c>
      <c r="I9" s="39">
        <v>769391.29</v>
      </c>
      <c r="J9" s="28"/>
      <c r="K9" s="28"/>
      <c r="L9" s="28"/>
      <c r="M9" s="28"/>
      <c r="N9" s="28"/>
    </row>
    <row r="10" ht="18" customHeight="1" spans="1:14">
      <c r="A10" s="17" t="s">
        <v>104</v>
      </c>
      <c r="B10" s="9">
        <f t="shared" si="3"/>
        <v>257201.345454545</v>
      </c>
      <c r="C10" s="18">
        <v>0.02</v>
      </c>
      <c r="D10" s="9">
        <f t="shared" si="4"/>
        <v>5144.02690909091</v>
      </c>
      <c r="E10" s="18">
        <v>0.08</v>
      </c>
      <c r="F10" s="19">
        <f t="shared" si="5"/>
        <v>20576.1076363636</v>
      </c>
      <c r="G10" s="20">
        <v>282921.48</v>
      </c>
      <c r="H10" s="17" t="s">
        <v>105</v>
      </c>
      <c r="I10" s="39">
        <v>282921.48</v>
      </c>
      <c r="J10" s="28"/>
      <c r="K10" s="28"/>
      <c r="L10" s="28"/>
      <c r="M10" s="28"/>
      <c r="N10" s="28"/>
    </row>
    <row r="11" ht="18" customHeight="1" spans="1:14">
      <c r="A11" s="17" t="s">
        <v>104</v>
      </c>
      <c r="B11" s="9">
        <f t="shared" si="3"/>
        <v>249656.781818182</v>
      </c>
      <c r="C11" s="18">
        <v>0.02</v>
      </c>
      <c r="D11" s="9">
        <f t="shared" si="4"/>
        <v>4993.13563636364</v>
      </c>
      <c r="E11" s="18">
        <v>0.08</v>
      </c>
      <c r="F11" s="19">
        <f t="shared" si="5"/>
        <v>19972.5425454545</v>
      </c>
      <c r="G11" s="20">
        <v>274622.46</v>
      </c>
      <c r="H11" s="17" t="s">
        <v>105</v>
      </c>
      <c r="I11" s="39">
        <v>274622.46</v>
      </c>
      <c r="J11" s="28"/>
      <c r="K11" s="28"/>
      <c r="L11" s="28"/>
      <c r="M11" s="28"/>
      <c r="N11" s="28"/>
    </row>
    <row r="12" ht="18" customHeight="1" spans="1:14">
      <c r="A12" s="17" t="s">
        <v>105</v>
      </c>
      <c r="B12" s="9">
        <f t="shared" si="3"/>
        <v>156436.881818182</v>
      </c>
      <c r="C12" s="18">
        <v>0.02</v>
      </c>
      <c r="D12" s="9">
        <f t="shared" si="4"/>
        <v>3128.73763636364</v>
      </c>
      <c r="E12" s="18">
        <v>0.08</v>
      </c>
      <c r="F12" s="19">
        <f t="shared" si="5"/>
        <v>12514.9505454545</v>
      </c>
      <c r="G12" s="20">
        <v>172080.57</v>
      </c>
      <c r="H12" s="17" t="s">
        <v>106</v>
      </c>
      <c r="I12" s="40">
        <v>172080.57</v>
      </c>
      <c r="J12" s="28"/>
      <c r="K12" s="28"/>
      <c r="L12" s="28"/>
      <c r="M12" s="28"/>
      <c r="N12" s="28"/>
    </row>
    <row r="13" ht="18" customHeight="1" spans="1:14">
      <c r="A13" s="17" t="s">
        <v>105</v>
      </c>
      <c r="B13" s="9">
        <f t="shared" si="3"/>
        <v>34193.6090909091</v>
      </c>
      <c r="C13" s="18">
        <v>0.02</v>
      </c>
      <c r="D13" s="9">
        <f t="shared" si="4"/>
        <v>683.872181818182</v>
      </c>
      <c r="E13" s="18">
        <v>0.08</v>
      </c>
      <c r="F13" s="19">
        <f t="shared" si="5"/>
        <v>2735.48872727273</v>
      </c>
      <c r="G13" s="20">
        <v>37612.97</v>
      </c>
      <c r="H13" s="17" t="s">
        <v>106</v>
      </c>
      <c r="I13" s="40">
        <v>37612.97</v>
      </c>
      <c r="J13" s="28"/>
      <c r="K13" s="28"/>
      <c r="L13" s="28"/>
      <c r="M13" s="28"/>
      <c r="N13" s="28"/>
    </row>
    <row r="14" ht="18" customHeight="1" spans="1:14">
      <c r="A14" s="17" t="s">
        <v>105</v>
      </c>
      <c r="B14" s="9">
        <f t="shared" si="3"/>
        <v>118831.872727273</v>
      </c>
      <c r="C14" s="18">
        <v>0.02</v>
      </c>
      <c r="D14" s="9">
        <f t="shared" si="4"/>
        <v>2376.63745454545</v>
      </c>
      <c r="E14" s="18">
        <v>0.08</v>
      </c>
      <c r="F14" s="19">
        <f t="shared" si="5"/>
        <v>9506.54981818182</v>
      </c>
      <c r="G14" s="20">
        <v>130715.06</v>
      </c>
      <c r="H14" s="17" t="s">
        <v>106</v>
      </c>
      <c r="I14" s="40">
        <v>130715.06</v>
      </c>
      <c r="J14" s="28"/>
      <c r="K14" s="28"/>
      <c r="L14" s="28"/>
      <c r="M14" s="28"/>
      <c r="N14" s="28"/>
    </row>
    <row r="15" ht="18" customHeight="1" spans="1:14">
      <c r="A15" s="17" t="s">
        <v>107</v>
      </c>
      <c r="B15" s="9">
        <f t="shared" si="3"/>
        <v>590007.550458716</v>
      </c>
      <c r="C15" s="18">
        <v>0.02</v>
      </c>
      <c r="D15" s="9">
        <f t="shared" si="4"/>
        <v>11800.1510091743</v>
      </c>
      <c r="E15" s="18">
        <v>0.07</v>
      </c>
      <c r="F15" s="21">
        <f t="shared" si="5"/>
        <v>41300.5285321101</v>
      </c>
      <c r="G15" s="20">
        <v>643108.23</v>
      </c>
      <c r="H15" s="17" t="s">
        <v>108</v>
      </c>
      <c r="I15" s="40">
        <v>643108.23</v>
      </c>
      <c r="J15" s="28"/>
      <c r="K15" s="28">
        <f>G15*0.95</f>
        <v>610952.8185</v>
      </c>
      <c r="L15" s="28"/>
      <c r="M15" s="28"/>
      <c r="N15" s="28"/>
    </row>
    <row r="16" ht="18" customHeight="1" spans="1:14">
      <c r="A16" s="17" t="s">
        <v>107</v>
      </c>
      <c r="B16" s="9">
        <f t="shared" si="3"/>
        <v>160649.95412844</v>
      </c>
      <c r="C16" s="18">
        <v>0.02</v>
      </c>
      <c r="D16" s="9">
        <f t="shared" si="4"/>
        <v>3212.99908256881</v>
      </c>
      <c r="E16" s="18">
        <v>0.07</v>
      </c>
      <c r="F16" s="21">
        <f t="shared" si="5"/>
        <v>11245.4967889908</v>
      </c>
      <c r="G16" s="20">
        <v>175108.45</v>
      </c>
      <c r="H16" s="17"/>
      <c r="I16" s="40"/>
      <c r="J16" s="28"/>
      <c r="K16" s="28"/>
      <c r="L16" s="28"/>
      <c r="M16" s="28"/>
      <c r="N16" s="28"/>
    </row>
    <row r="17" ht="18" customHeight="1" spans="1:14">
      <c r="A17" s="17" t="s">
        <v>107</v>
      </c>
      <c r="B17" s="9">
        <f t="shared" si="3"/>
        <v>24572.1651376147</v>
      </c>
      <c r="C17" s="18">
        <v>0.02</v>
      </c>
      <c r="D17" s="9">
        <f t="shared" si="4"/>
        <v>491.443302752294</v>
      </c>
      <c r="E17" s="18">
        <v>0.07</v>
      </c>
      <c r="F17" s="21">
        <f t="shared" si="5"/>
        <v>1720.05155963303</v>
      </c>
      <c r="G17" s="20">
        <v>26783.66</v>
      </c>
      <c r="H17" s="17"/>
      <c r="I17" s="40"/>
      <c r="J17" s="28"/>
      <c r="K17" s="28"/>
      <c r="L17" s="28"/>
      <c r="M17" s="28"/>
      <c r="N17" s="28"/>
    </row>
    <row r="18" ht="18" customHeight="1" spans="1:14">
      <c r="A18" s="17" t="s">
        <v>107</v>
      </c>
      <c r="B18" s="9">
        <f t="shared" si="3"/>
        <v>215005.128440367</v>
      </c>
      <c r="C18" s="18">
        <v>0.02</v>
      </c>
      <c r="D18" s="9">
        <f t="shared" si="4"/>
        <v>4300.10256880734</v>
      </c>
      <c r="E18" s="18">
        <v>0.07</v>
      </c>
      <c r="F18" s="21">
        <f t="shared" si="5"/>
        <v>15050.3589908257</v>
      </c>
      <c r="G18" s="20">
        <v>234355.59</v>
      </c>
      <c r="H18" s="17"/>
      <c r="I18" s="40"/>
      <c r="J18" s="28"/>
      <c r="K18" s="28"/>
      <c r="L18" s="28"/>
      <c r="M18" s="28"/>
      <c r="N18" s="28"/>
    </row>
    <row r="19" ht="18" customHeight="1" spans="1:14">
      <c r="A19" s="17" t="s">
        <v>107</v>
      </c>
      <c r="B19" s="9">
        <f t="shared" si="3"/>
        <v>28229.4220183486</v>
      </c>
      <c r="C19" s="18">
        <v>0.02</v>
      </c>
      <c r="D19" s="9">
        <f t="shared" si="4"/>
        <v>564.588440366972</v>
      </c>
      <c r="E19" s="18">
        <v>0.07</v>
      </c>
      <c r="F19" s="21">
        <f t="shared" si="5"/>
        <v>1976.0595412844</v>
      </c>
      <c r="G19" s="20">
        <v>30770.07</v>
      </c>
      <c r="H19" s="17"/>
      <c r="I19" s="40"/>
      <c r="J19" s="28"/>
      <c r="K19" s="28"/>
      <c r="L19" s="28"/>
      <c r="M19" s="28"/>
      <c r="N19" s="28"/>
    </row>
    <row r="20" ht="18" customHeight="1" spans="1:14">
      <c r="A20" s="17" t="s">
        <v>107</v>
      </c>
      <c r="B20" s="9">
        <f t="shared" si="3"/>
        <v>32411.871559633</v>
      </c>
      <c r="C20" s="18">
        <v>0.02</v>
      </c>
      <c r="D20" s="9">
        <f t="shared" si="4"/>
        <v>648.237431192661</v>
      </c>
      <c r="E20" s="18">
        <v>0.07</v>
      </c>
      <c r="F20" s="21">
        <f t="shared" si="5"/>
        <v>2268.83100917431</v>
      </c>
      <c r="G20" s="20">
        <v>35328.94</v>
      </c>
      <c r="H20" s="17"/>
      <c r="I20" s="40"/>
      <c r="J20" s="28"/>
      <c r="K20" s="28"/>
      <c r="L20" s="28"/>
      <c r="M20" s="28"/>
      <c r="N20" s="28"/>
    </row>
    <row r="21" ht="18" customHeight="1" spans="1:14">
      <c r="A21" s="17" t="s">
        <v>107</v>
      </c>
      <c r="B21" s="9">
        <f t="shared" si="3"/>
        <v>175387.376146789</v>
      </c>
      <c r="C21" s="18">
        <v>0.02</v>
      </c>
      <c r="D21" s="9">
        <f t="shared" si="4"/>
        <v>3507.74752293578</v>
      </c>
      <c r="E21" s="18">
        <v>0.07</v>
      </c>
      <c r="F21" s="21">
        <f t="shared" si="5"/>
        <v>12277.1163302752</v>
      </c>
      <c r="G21" s="20">
        <v>191172.24</v>
      </c>
      <c r="H21" s="17"/>
      <c r="I21" s="40"/>
      <c r="J21" s="28"/>
      <c r="K21" s="28"/>
      <c r="L21" s="28"/>
      <c r="M21" s="28"/>
      <c r="N21" s="28"/>
    </row>
    <row r="22" ht="18" customHeight="1" spans="1:14">
      <c r="A22" s="17" t="s">
        <v>107</v>
      </c>
      <c r="B22" s="9">
        <f t="shared" si="3"/>
        <v>817541.623853211</v>
      </c>
      <c r="C22" s="18">
        <v>0.02</v>
      </c>
      <c r="D22" s="9">
        <f t="shared" si="4"/>
        <v>16350.8324770642</v>
      </c>
      <c r="E22" s="18">
        <v>0.07</v>
      </c>
      <c r="F22" s="21">
        <f t="shared" si="5"/>
        <v>57227.9136697248</v>
      </c>
      <c r="G22" s="20">
        <v>891120.37</v>
      </c>
      <c r="H22" s="17"/>
      <c r="I22" s="40"/>
      <c r="J22" s="28"/>
      <c r="K22" s="28"/>
      <c r="L22" s="28"/>
      <c r="M22" s="28"/>
      <c r="N22" s="28"/>
    </row>
    <row r="23" ht="18" customHeight="1" spans="1:14">
      <c r="A23" s="17" t="s">
        <v>107</v>
      </c>
      <c r="B23" s="9">
        <f t="shared" si="3"/>
        <v>81961.128440367</v>
      </c>
      <c r="C23" s="18">
        <v>0.02</v>
      </c>
      <c r="D23" s="9">
        <f t="shared" si="4"/>
        <v>1639.22256880734</v>
      </c>
      <c r="E23" s="18">
        <v>0.07</v>
      </c>
      <c r="F23" s="21">
        <f t="shared" si="5"/>
        <v>5737.27899082569</v>
      </c>
      <c r="G23" s="20">
        <v>89337.63</v>
      </c>
      <c r="H23" s="17"/>
      <c r="I23" s="40"/>
      <c r="J23" s="28"/>
      <c r="K23" s="28"/>
      <c r="L23" s="28"/>
      <c r="M23" s="28"/>
      <c r="N23" s="28"/>
    </row>
    <row r="24" ht="18" customHeight="1" spans="1:14">
      <c r="A24" s="17" t="s">
        <v>107</v>
      </c>
      <c r="B24" s="9">
        <f t="shared" si="3"/>
        <v>100380.137614679</v>
      </c>
      <c r="C24" s="18">
        <v>0.02</v>
      </c>
      <c r="D24" s="9">
        <f t="shared" si="4"/>
        <v>2007.60275229358</v>
      </c>
      <c r="E24" s="18">
        <v>0.07</v>
      </c>
      <c r="F24" s="21">
        <f t="shared" si="5"/>
        <v>7026.60963302752</v>
      </c>
      <c r="G24" s="20">
        <v>109414.35</v>
      </c>
      <c r="H24" s="17"/>
      <c r="I24" s="40"/>
      <c r="J24" s="28"/>
      <c r="K24" s="28"/>
      <c r="L24" s="28"/>
      <c r="M24" s="28"/>
      <c r="N24" s="28"/>
    </row>
    <row r="25" ht="18" customHeight="1" spans="1:14">
      <c r="A25" s="17" t="s">
        <v>107</v>
      </c>
      <c r="B25" s="9">
        <f t="shared" si="3"/>
        <v>156736.944954128</v>
      </c>
      <c r="C25" s="18">
        <v>0.02</v>
      </c>
      <c r="D25" s="9">
        <f t="shared" si="4"/>
        <v>3134.73889908257</v>
      </c>
      <c r="E25" s="18">
        <v>0.07</v>
      </c>
      <c r="F25" s="22">
        <f t="shared" si="5"/>
        <v>10971.586146789</v>
      </c>
      <c r="G25" s="20">
        <v>170843.27</v>
      </c>
      <c r="H25" s="17"/>
      <c r="I25" s="40"/>
      <c r="J25" s="28"/>
      <c r="K25" s="28"/>
      <c r="L25" s="28"/>
      <c r="M25" s="28"/>
      <c r="N25" s="28"/>
    </row>
    <row r="26" ht="18" customHeight="1" spans="1:14">
      <c r="A26" s="17" t="s">
        <v>109</v>
      </c>
      <c r="B26" s="9">
        <f t="shared" ref="B26:B39" si="6">G26/(1+C26+E26)</f>
        <v>160649.95412844</v>
      </c>
      <c r="C26" s="23">
        <v>0.02</v>
      </c>
      <c r="D26" s="9">
        <f t="shared" ref="D26:D39" si="7">G26/(1+E26+C26)*C26</f>
        <v>3212.99908256881</v>
      </c>
      <c r="E26" s="23">
        <v>0.07</v>
      </c>
      <c r="F26" s="9">
        <f t="shared" ref="F26:F39" si="8">G26/(1+C26+E26)*E26</f>
        <v>11245.4967889908</v>
      </c>
      <c r="G26" s="20">
        <v>175108.45</v>
      </c>
      <c r="H26" s="17"/>
      <c r="I26" s="40"/>
      <c r="J26" s="28"/>
      <c r="K26" s="28"/>
      <c r="L26" s="28"/>
      <c r="M26" s="28"/>
      <c r="N26" s="28"/>
    </row>
    <row r="27" ht="18" customHeight="1" spans="1:14">
      <c r="A27" s="17" t="s">
        <v>109</v>
      </c>
      <c r="B27" s="9">
        <f t="shared" si="6"/>
        <v>24572.1651376147</v>
      </c>
      <c r="C27" s="23">
        <v>0.02</v>
      </c>
      <c r="D27" s="9">
        <f t="shared" si="7"/>
        <v>491.443302752294</v>
      </c>
      <c r="E27" s="23">
        <v>0.07</v>
      </c>
      <c r="F27" s="9">
        <f t="shared" si="8"/>
        <v>1720.05155963303</v>
      </c>
      <c r="G27" s="20">
        <v>26783.66</v>
      </c>
      <c r="H27" s="17"/>
      <c r="I27" s="40"/>
      <c r="J27" s="28"/>
      <c r="K27" s="28"/>
      <c r="L27" s="28"/>
      <c r="M27" s="28"/>
      <c r="N27" s="28"/>
    </row>
    <row r="28" ht="18" customHeight="1" spans="1:14">
      <c r="A28" s="17" t="s">
        <v>109</v>
      </c>
      <c r="B28" s="9">
        <f t="shared" si="6"/>
        <v>215005.128440367</v>
      </c>
      <c r="C28" s="23">
        <v>0.02</v>
      </c>
      <c r="D28" s="9">
        <f t="shared" si="7"/>
        <v>4300.10256880734</v>
      </c>
      <c r="E28" s="23">
        <v>0.07</v>
      </c>
      <c r="F28" s="9">
        <f t="shared" si="8"/>
        <v>15050.3589908257</v>
      </c>
      <c r="G28" s="20">
        <v>234355.59</v>
      </c>
      <c r="H28" s="17"/>
      <c r="I28" s="40"/>
      <c r="J28" s="28"/>
      <c r="K28" s="28"/>
      <c r="L28" s="28"/>
      <c r="M28" s="28"/>
      <c r="N28" s="28"/>
    </row>
    <row r="29" ht="18" customHeight="1" spans="1:14">
      <c r="A29" s="17" t="s">
        <v>109</v>
      </c>
      <c r="B29" s="9">
        <f t="shared" si="6"/>
        <v>28229.4220183486</v>
      </c>
      <c r="C29" s="23">
        <v>0.02</v>
      </c>
      <c r="D29" s="9">
        <f t="shared" si="7"/>
        <v>564.588440366972</v>
      </c>
      <c r="E29" s="23">
        <v>0.07</v>
      </c>
      <c r="F29" s="9">
        <f t="shared" si="8"/>
        <v>1976.0595412844</v>
      </c>
      <c r="G29" s="20">
        <v>30770.07</v>
      </c>
      <c r="H29" s="17"/>
      <c r="I29" s="40"/>
      <c r="J29" s="28"/>
      <c r="K29" s="28"/>
      <c r="L29" s="28"/>
      <c r="M29" s="28"/>
      <c r="N29" s="28"/>
    </row>
    <row r="30" ht="18" customHeight="1" spans="1:14">
      <c r="A30" s="17" t="s">
        <v>109</v>
      </c>
      <c r="B30" s="9">
        <f t="shared" si="6"/>
        <v>32411.871559633</v>
      </c>
      <c r="C30" s="23">
        <v>0.02</v>
      </c>
      <c r="D30" s="9">
        <f t="shared" si="7"/>
        <v>648.237431192661</v>
      </c>
      <c r="E30" s="23">
        <v>0.07</v>
      </c>
      <c r="F30" s="9">
        <f t="shared" si="8"/>
        <v>2268.83100917431</v>
      </c>
      <c r="G30" s="20">
        <v>35328.94</v>
      </c>
      <c r="H30" s="17"/>
      <c r="I30" s="40"/>
      <c r="J30" s="28"/>
      <c r="K30" s="28"/>
      <c r="L30" s="28"/>
      <c r="M30" s="28"/>
      <c r="N30" s="28"/>
    </row>
    <row r="31" ht="18" customHeight="1" spans="1:14">
      <c r="A31" s="17" t="s">
        <v>109</v>
      </c>
      <c r="B31" s="9">
        <f t="shared" si="6"/>
        <v>175387.376146789</v>
      </c>
      <c r="C31" s="23">
        <v>0.02</v>
      </c>
      <c r="D31" s="9">
        <f t="shared" si="7"/>
        <v>3507.74752293578</v>
      </c>
      <c r="E31" s="23">
        <v>0.07</v>
      </c>
      <c r="F31" s="9">
        <f t="shared" si="8"/>
        <v>12277.1163302752</v>
      </c>
      <c r="G31" s="20">
        <v>191172.24</v>
      </c>
      <c r="H31" s="17"/>
      <c r="I31" s="40"/>
      <c r="J31" s="28"/>
      <c r="K31" s="28"/>
      <c r="L31" s="28"/>
      <c r="M31" s="28"/>
      <c r="N31" s="28"/>
    </row>
    <row r="32" ht="18" customHeight="1" spans="1:14">
      <c r="A32" s="17" t="s">
        <v>109</v>
      </c>
      <c r="B32" s="9">
        <f t="shared" si="6"/>
        <v>817541.623853211</v>
      </c>
      <c r="C32" s="23">
        <v>0.02</v>
      </c>
      <c r="D32" s="9">
        <f t="shared" si="7"/>
        <v>16350.8324770642</v>
      </c>
      <c r="E32" s="23">
        <v>0.07</v>
      </c>
      <c r="F32" s="9">
        <f t="shared" si="8"/>
        <v>57227.9136697248</v>
      </c>
      <c r="G32" s="20">
        <v>891120.37</v>
      </c>
      <c r="H32" s="17"/>
      <c r="I32" s="40"/>
      <c r="J32" s="28"/>
      <c r="K32" s="28"/>
      <c r="L32" s="28"/>
      <c r="M32" s="28"/>
      <c r="N32" s="28"/>
    </row>
    <row r="33" ht="18" customHeight="1" spans="1:14">
      <c r="A33" s="17" t="s">
        <v>109</v>
      </c>
      <c r="B33" s="9">
        <f t="shared" si="6"/>
        <v>81961.128440367</v>
      </c>
      <c r="C33" s="23">
        <v>0.02</v>
      </c>
      <c r="D33" s="9">
        <f t="shared" si="7"/>
        <v>1639.22256880734</v>
      </c>
      <c r="E33" s="23">
        <v>0.07</v>
      </c>
      <c r="F33" s="9">
        <f t="shared" si="8"/>
        <v>5737.27899082569</v>
      </c>
      <c r="G33" s="20">
        <v>89337.63</v>
      </c>
      <c r="H33" s="17"/>
      <c r="I33" s="40"/>
      <c r="J33" s="28"/>
      <c r="K33" s="28"/>
      <c r="L33" s="28"/>
      <c r="M33" s="28"/>
      <c r="N33" s="28"/>
    </row>
    <row r="34" ht="18" customHeight="1" spans="1:14">
      <c r="A34" s="17" t="s">
        <v>109</v>
      </c>
      <c r="B34" s="9">
        <f t="shared" si="6"/>
        <v>100380.137614679</v>
      </c>
      <c r="C34" s="23">
        <v>0.02</v>
      </c>
      <c r="D34" s="9">
        <f t="shared" si="7"/>
        <v>2007.60275229358</v>
      </c>
      <c r="E34" s="23">
        <v>0.07</v>
      </c>
      <c r="F34" s="9">
        <f t="shared" si="8"/>
        <v>7026.60963302752</v>
      </c>
      <c r="G34" s="20">
        <v>109414.35</v>
      </c>
      <c r="H34" s="17"/>
      <c r="I34" s="40"/>
      <c r="J34" s="28"/>
      <c r="K34" s="28"/>
      <c r="L34" s="28"/>
      <c r="M34" s="28"/>
      <c r="N34" s="28"/>
    </row>
    <row r="35" ht="18" customHeight="1" spans="1:14">
      <c r="A35" s="17" t="s">
        <v>109</v>
      </c>
      <c r="B35" s="9">
        <f t="shared" si="6"/>
        <v>156736.917431193</v>
      </c>
      <c r="C35" s="23">
        <v>0.02</v>
      </c>
      <c r="D35" s="9">
        <f t="shared" si="7"/>
        <v>3134.73834862385</v>
      </c>
      <c r="E35" s="23">
        <v>0.07</v>
      </c>
      <c r="F35" s="9">
        <f t="shared" si="8"/>
        <v>10971.5842201835</v>
      </c>
      <c r="G35" s="20">
        <v>170843.24</v>
      </c>
      <c r="H35" s="17"/>
      <c r="I35" s="40"/>
      <c r="J35" s="28"/>
      <c r="K35" s="28"/>
      <c r="L35" s="28"/>
      <c r="M35" s="28"/>
      <c r="N35" s="28"/>
    </row>
    <row r="36" ht="18" customHeight="1" spans="1:14">
      <c r="A36" s="17"/>
      <c r="B36" s="9">
        <f t="shared" si="6"/>
        <v>0</v>
      </c>
      <c r="C36" s="18"/>
      <c r="D36" s="9">
        <f t="shared" si="7"/>
        <v>0</v>
      </c>
      <c r="E36" s="18"/>
      <c r="F36" s="9">
        <f t="shared" si="8"/>
        <v>0</v>
      </c>
      <c r="G36" s="20"/>
      <c r="H36" s="17"/>
      <c r="I36" s="40"/>
      <c r="J36" s="28"/>
      <c r="K36" s="28"/>
      <c r="L36" s="28"/>
      <c r="M36" s="28"/>
      <c r="N36" s="28"/>
    </row>
    <row r="37" ht="18" customHeight="1" spans="1:14">
      <c r="A37" s="17"/>
      <c r="B37" s="9">
        <f t="shared" si="6"/>
        <v>0</v>
      </c>
      <c r="C37" s="18"/>
      <c r="D37" s="9">
        <f t="shared" si="7"/>
        <v>0</v>
      </c>
      <c r="E37" s="18"/>
      <c r="F37" s="9">
        <f t="shared" si="8"/>
        <v>0</v>
      </c>
      <c r="G37" s="20"/>
      <c r="H37" s="17"/>
      <c r="I37" s="40"/>
      <c r="J37" s="28"/>
      <c r="K37" s="28"/>
      <c r="L37" s="28"/>
      <c r="M37" s="28"/>
      <c r="N37" s="28"/>
    </row>
    <row r="38" ht="18" customHeight="1" spans="1:14">
      <c r="A38" s="17"/>
      <c r="B38" s="9">
        <f t="shared" si="6"/>
        <v>0</v>
      </c>
      <c r="C38" s="18"/>
      <c r="D38" s="9">
        <f t="shared" si="7"/>
        <v>0</v>
      </c>
      <c r="E38" s="18"/>
      <c r="F38" s="9">
        <f t="shared" si="8"/>
        <v>0</v>
      </c>
      <c r="G38" s="20"/>
      <c r="H38" s="17"/>
      <c r="I38" s="40"/>
      <c r="J38" s="28"/>
      <c r="K38" s="28"/>
      <c r="L38" s="28"/>
      <c r="M38" s="28"/>
      <c r="N38" s="28"/>
    </row>
    <row r="39" ht="18" customHeight="1" spans="1:14">
      <c r="A39" s="17"/>
      <c r="B39" s="9">
        <f t="shared" si="6"/>
        <v>0</v>
      </c>
      <c r="C39" s="18"/>
      <c r="D39" s="9">
        <f t="shared" si="7"/>
        <v>0</v>
      </c>
      <c r="E39" s="18"/>
      <c r="F39" s="9">
        <f t="shared" si="8"/>
        <v>0</v>
      </c>
      <c r="G39" s="20"/>
      <c r="H39" s="17"/>
      <c r="I39" s="40"/>
      <c r="J39" s="28"/>
      <c r="K39" s="28"/>
      <c r="L39" s="28"/>
      <c r="M39" s="28"/>
      <c r="N39" s="28"/>
    </row>
    <row r="40" ht="18" customHeight="1" spans="1:14">
      <c r="A40" s="7" t="s">
        <v>28</v>
      </c>
      <c r="B40" s="24">
        <f>SUM(B7:B39)</f>
        <v>6021239.30934112</v>
      </c>
      <c r="C40" s="25"/>
      <c r="D40" s="25">
        <f>SUM(D7:D39)</f>
        <v>120424.786186822</v>
      </c>
      <c r="E40" s="25"/>
      <c r="F40" s="26">
        <f>SUM(F7:F39)</f>
        <v>439941.55447206</v>
      </c>
      <c r="G40" s="25">
        <f>SUM(G7:G39)</f>
        <v>6581605.65</v>
      </c>
      <c r="H40" s="27"/>
      <c r="I40" s="41">
        <f>SUM(I7:I39)</f>
        <v>2673136.54</v>
      </c>
      <c r="J40" s="13"/>
      <c r="K40" s="42"/>
      <c r="L40" s="28"/>
      <c r="M40" s="28"/>
      <c r="N40" s="28"/>
    </row>
    <row r="41" ht="18" customHeight="1" spans="1:14">
      <c r="A41" s="15" t="s">
        <v>29</v>
      </c>
      <c r="B41" s="28"/>
      <c r="C41" s="13"/>
      <c r="D41" s="13"/>
      <c r="E41" s="13"/>
      <c r="F41" s="13"/>
      <c r="G41" s="13"/>
      <c r="H41" s="13"/>
      <c r="I41" s="43"/>
      <c r="J41" s="44"/>
      <c r="K41" s="45"/>
      <c r="L41" s="45"/>
      <c r="M41" s="45"/>
      <c r="N41" s="45"/>
    </row>
    <row r="42" s="1" customFormat="1" ht="18" customHeight="1" spans="1:14">
      <c r="A42" s="29" t="s">
        <v>35</v>
      </c>
      <c r="B42" s="10" t="s">
        <v>36</v>
      </c>
      <c r="C42" s="10" t="s">
        <v>37</v>
      </c>
      <c r="D42" s="10" t="s">
        <v>38</v>
      </c>
      <c r="E42" s="10" t="s">
        <v>17</v>
      </c>
      <c r="F42" s="10" t="s">
        <v>39</v>
      </c>
      <c r="G42" s="10" t="s">
        <v>15</v>
      </c>
      <c r="H42" s="10" t="s">
        <v>40</v>
      </c>
      <c r="I42" s="10" t="s">
        <v>41</v>
      </c>
      <c r="J42" s="46" t="s">
        <v>30</v>
      </c>
      <c r="K42" s="16" t="s">
        <v>31</v>
      </c>
      <c r="L42" s="16" t="s">
        <v>32</v>
      </c>
      <c r="M42" s="16" t="s">
        <v>33</v>
      </c>
      <c r="N42" s="16" t="s">
        <v>34</v>
      </c>
    </row>
    <row r="43" s="1" customFormat="1" ht="18" customHeight="1" spans="1:14">
      <c r="A43" s="29" t="s">
        <v>42</v>
      </c>
      <c r="B43" s="30">
        <f>ROUND(G43/(1+E43),2)</f>
        <v>62105.66</v>
      </c>
      <c r="C43" s="31"/>
      <c r="D43" s="32" t="s">
        <v>43</v>
      </c>
      <c r="E43" s="33">
        <v>0.06</v>
      </c>
      <c r="F43" s="30">
        <f>ROUND(G43/(1+E43)*E43,2)</f>
        <v>3726.34</v>
      </c>
      <c r="G43" s="20">
        <v>65832</v>
      </c>
      <c r="H43" s="10"/>
      <c r="I43" s="10"/>
      <c r="J43" s="47" t="s">
        <v>44</v>
      </c>
      <c r="K43" s="10"/>
      <c r="L43" s="32"/>
      <c r="M43" s="32"/>
      <c r="N43" s="48"/>
    </row>
    <row r="44" s="1" customFormat="1" ht="18" customHeight="1" spans="1:14">
      <c r="A44" s="8" t="s">
        <v>22</v>
      </c>
      <c r="B44" s="30">
        <f>ROUND(G44/(1+E44),2)</f>
        <v>621456.9</v>
      </c>
      <c r="C44" s="34">
        <v>2</v>
      </c>
      <c r="D44" s="32" t="s">
        <v>43</v>
      </c>
      <c r="E44" s="33">
        <v>0.16</v>
      </c>
      <c r="F44" s="30">
        <f>ROUND(G44/(1+E44)*E44,2)</f>
        <v>99433.1</v>
      </c>
      <c r="G44" s="20">
        <f>719890+1000</f>
        <v>720890</v>
      </c>
      <c r="H44" s="29"/>
      <c r="I44" s="9"/>
      <c r="J44" s="47" t="s">
        <v>45</v>
      </c>
      <c r="K44" s="9" t="s">
        <v>46</v>
      </c>
      <c r="L44" s="32"/>
      <c r="M44" s="32"/>
      <c r="N44" s="48"/>
    </row>
    <row r="45" s="1" customFormat="1" ht="18" customHeight="1" spans="1:14">
      <c r="A45" s="8" t="s">
        <v>22</v>
      </c>
      <c r="B45" s="30">
        <f t="shared" ref="B45:B87" si="9">ROUND(G45/(1+E45),2)</f>
        <v>31034.48</v>
      </c>
      <c r="C45" s="34">
        <v>1</v>
      </c>
      <c r="D45" s="32" t="s">
        <v>43</v>
      </c>
      <c r="E45" s="33">
        <v>0.16</v>
      </c>
      <c r="F45" s="30">
        <f t="shared" ref="F45:F87" si="10">ROUND(G45/(1+E45)*E45,2)</f>
        <v>4965.52</v>
      </c>
      <c r="G45" s="20">
        <v>36000</v>
      </c>
      <c r="H45" s="35"/>
      <c r="I45" s="9"/>
      <c r="J45" s="47" t="s">
        <v>47</v>
      </c>
      <c r="K45" s="9" t="s">
        <v>46</v>
      </c>
      <c r="L45" s="32"/>
      <c r="M45" s="32"/>
      <c r="N45" s="48"/>
    </row>
    <row r="46" s="1" customFormat="1" ht="18" customHeight="1" spans="1:14">
      <c r="A46" s="8" t="s">
        <v>22</v>
      </c>
      <c r="B46" s="30">
        <f t="shared" si="9"/>
        <v>56680.95</v>
      </c>
      <c r="C46" s="34">
        <v>4</v>
      </c>
      <c r="D46" s="32" t="s">
        <v>43</v>
      </c>
      <c r="E46" s="33">
        <v>0.16</v>
      </c>
      <c r="F46" s="30">
        <f t="shared" si="10"/>
        <v>9068.95</v>
      </c>
      <c r="G46" s="20">
        <f>63534+169+1999+47.9</f>
        <v>65749.9</v>
      </c>
      <c r="H46" s="29"/>
      <c r="I46" s="9"/>
      <c r="J46" s="47"/>
      <c r="K46" s="9" t="s">
        <v>48</v>
      </c>
      <c r="L46" s="32"/>
      <c r="M46" s="32"/>
      <c r="N46" s="48"/>
    </row>
    <row r="47" s="1" customFormat="1" ht="18" customHeight="1" spans="1:14">
      <c r="A47" s="8" t="s">
        <v>22</v>
      </c>
      <c r="B47" s="30">
        <f t="shared" si="9"/>
        <v>12000</v>
      </c>
      <c r="C47" s="34">
        <v>3</v>
      </c>
      <c r="D47" s="32" t="s">
        <v>43</v>
      </c>
      <c r="E47" s="33">
        <v>0.1</v>
      </c>
      <c r="F47" s="30">
        <f t="shared" si="10"/>
        <v>1200</v>
      </c>
      <c r="G47" s="20">
        <f>6784+6416</f>
        <v>13200</v>
      </c>
      <c r="H47" s="29"/>
      <c r="I47" s="9"/>
      <c r="J47" s="47"/>
      <c r="K47" s="9" t="s">
        <v>49</v>
      </c>
      <c r="L47" s="32"/>
      <c r="M47" s="32"/>
      <c r="N47" s="48"/>
    </row>
    <row r="48" s="1" customFormat="1" ht="18" customHeight="1" spans="1:14">
      <c r="A48" s="8" t="s">
        <v>22</v>
      </c>
      <c r="B48" s="30">
        <f t="shared" si="9"/>
        <v>3036.04</v>
      </c>
      <c r="C48" s="34">
        <v>0</v>
      </c>
      <c r="D48" s="32" t="s">
        <v>43</v>
      </c>
      <c r="E48" s="33">
        <v>0.11</v>
      </c>
      <c r="F48" s="30">
        <f t="shared" si="10"/>
        <v>333.96</v>
      </c>
      <c r="G48" s="20">
        <v>3370</v>
      </c>
      <c r="H48" s="29"/>
      <c r="I48" s="9"/>
      <c r="J48" s="47"/>
      <c r="K48" s="9" t="s">
        <v>49</v>
      </c>
      <c r="L48" s="32"/>
      <c r="M48" s="32"/>
      <c r="N48" s="48"/>
    </row>
    <row r="49" s="1" customFormat="1" ht="18" customHeight="1" spans="1:14">
      <c r="A49" s="8" t="s">
        <v>22</v>
      </c>
      <c r="B49" s="30">
        <f t="shared" si="9"/>
        <v>6895.69</v>
      </c>
      <c r="C49" s="34">
        <v>1</v>
      </c>
      <c r="D49" s="32" t="s">
        <v>43</v>
      </c>
      <c r="E49" s="33">
        <v>0.16</v>
      </c>
      <c r="F49" s="30">
        <f t="shared" si="10"/>
        <v>1103.31</v>
      </c>
      <c r="G49" s="20">
        <v>7999</v>
      </c>
      <c r="H49" s="29"/>
      <c r="I49" s="9"/>
      <c r="J49" s="47"/>
      <c r="K49" s="9" t="s">
        <v>50</v>
      </c>
      <c r="L49" s="32"/>
      <c r="M49" s="32"/>
      <c r="N49" s="48"/>
    </row>
    <row r="50" s="1" customFormat="1" ht="18" customHeight="1" spans="1:14">
      <c r="A50" s="8" t="s">
        <v>22</v>
      </c>
      <c r="B50" s="30">
        <f t="shared" si="9"/>
        <v>9420.26</v>
      </c>
      <c r="C50" s="34">
        <v>5</v>
      </c>
      <c r="D50" s="32" t="s">
        <v>43</v>
      </c>
      <c r="E50" s="33">
        <v>0.16</v>
      </c>
      <c r="F50" s="30">
        <f t="shared" si="10"/>
        <v>1507.24</v>
      </c>
      <c r="G50" s="20">
        <f>6354+380+3645+179.5+369</f>
        <v>10927.5</v>
      </c>
      <c r="H50" s="29"/>
      <c r="I50" s="9"/>
      <c r="J50" s="47"/>
      <c r="K50" s="9" t="s">
        <v>46</v>
      </c>
      <c r="L50" s="32"/>
      <c r="M50" s="32"/>
      <c r="N50" s="48"/>
    </row>
    <row r="51" s="1" customFormat="1" ht="18" customHeight="1" spans="1:14">
      <c r="A51" s="8" t="s">
        <v>22</v>
      </c>
      <c r="B51" s="30">
        <f t="shared" si="9"/>
        <v>3890.16</v>
      </c>
      <c r="C51" s="34">
        <v>1</v>
      </c>
      <c r="D51" s="32" t="s">
        <v>43</v>
      </c>
      <c r="E51" s="33">
        <v>0.16</v>
      </c>
      <c r="F51" s="30">
        <f t="shared" si="10"/>
        <v>622.43</v>
      </c>
      <c r="G51" s="20">
        <f>108.89+128.7+2835+1440</f>
        <v>4512.59</v>
      </c>
      <c r="H51" s="29"/>
      <c r="I51" s="9"/>
      <c r="J51" s="47"/>
      <c r="K51" s="9" t="s">
        <v>51</v>
      </c>
      <c r="L51" s="32"/>
      <c r="M51" s="32"/>
      <c r="N51" s="48"/>
    </row>
    <row r="52" s="1" customFormat="1" ht="18" customHeight="1" spans="1:14">
      <c r="A52" s="8" t="s">
        <v>22</v>
      </c>
      <c r="B52" s="30">
        <f t="shared" si="9"/>
        <v>6487.93</v>
      </c>
      <c r="C52" s="34">
        <v>5</v>
      </c>
      <c r="D52" s="32" t="s">
        <v>43</v>
      </c>
      <c r="E52" s="33">
        <v>0.16</v>
      </c>
      <c r="F52" s="30">
        <f t="shared" si="10"/>
        <v>1038.07</v>
      </c>
      <c r="G52" s="20">
        <f>1900+966+325+2920+1415</f>
        <v>7526</v>
      </c>
      <c r="H52" s="29"/>
      <c r="I52" s="9"/>
      <c r="J52" s="47"/>
      <c r="K52" s="9" t="s">
        <v>52</v>
      </c>
      <c r="L52" s="32"/>
      <c r="M52" s="32"/>
      <c r="N52" s="48"/>
    </row>
    <row r="53" s="1" customFormat="1" ht="18" customHeight="1" spans="1:14">
      <c r="A53" s="8" t="s">
        <v>22</v>
      </c>
      <c r="B53" s="30">
        <f t="shared" si="9"/>
        <v>7727.27</v>
      </c>
      <c r="C53" s="34">
        <v>3</v>
      </c>
      <c r="D53" s="32" t="s">
        <v>43</v>
      </c>
      <c r="E53" s="33">
        <v>0.1</v>
      </c>
      <c r="F53" s="30">
        <f t="shared" si="10"/>
        <v>772.73</v>
      </c>
      <c r="G53" s="20">
        <v>8500</v>
      </c>
      <c r="H53" s="29"/>
      <c r="I53" s="9"/>
      <c r="J53" s="47"/>
      <c r="K53" s="9" t="s">
        <v>53</v>
      </c>
      <c r="L53" s="32"/>
      <c r="M53" s="32"/>
      <c r="N53" s="48"/>
    </row>
    <row r="54" s="1" customFormat="1" ht="18" customHeight="1" spans="1:14">
      <c r="A54" s="8" t="s">
        <v>22</v>
      </c>
      <c r="B54" s="30">
        <f t="shared" si="9"/>
        <v>769.22</v>
      </c>
      <c r="C54" s="34">
        <v>5</v>
      </c>
      <c r="D54" s="32" t="s">
        <v>43</v>
      </c>
      <c r="E54" s="33">
        <v>0.16</v>
      </c>
      <c r="F54" s="30">
        <f t="shared" si="10"/>
        <v>123.07</v>
      </c>
      <c r="G54" s="20">
        <f>344.84+136.45+411</f>
        <v>892.29</v>
      </c>
      <c r="H54" s="29"/>
      <c r="I54" s="9"/>
      <c r="J54" s="47"/>
      <c r="K54" s="9" t="s">
        <v>54</v>
      </c>
      <c r="L54" s="32"/>
      <c r="M54" s="32"/>
      <c r="N54" s="48"/>
    </row>
    <row r="55" s="1" customFormat="1" ht="18" customHeight="1" spans="1:14">
      <c r="A55" s="8" t="s">
        <v>22</v>
      </c>
      <c r="B55" s="30">
        <f t="shared" si="9"/>
        <v>17888.68</v>
      </c>
      <c r="C55" s="34">
        <v>5</v>
      </c>
      <c r="D55" s="32" t="s">
        <v>43</v>
      </c>
      <c r="E55" s="33">
        <v>0.06</v>
      </c>
      <c r="F55" s="30">
        <f t="shared" si="10"/>
        <v>1073.32</v>
      </c>
      <c r="G55" s="20">
        <f>6350+2800+1400+2000+6412</f>
        <v>18962</v>
      </c>
      <c r="H55" s="29"/>
      <c r="I55" s="9"/>
      <c r="J55" s="47"/>
      <c r="K55" s="9" t="s">
        <v>55</v>
      </c>
      <c r="L55" s="32"/>
      <c r="M55" s="32"/>
      <c r="N55" s="48"/>
    </row>
    <row r="56" s="1" customFormat="1" ht="18" customHeight="1" spans="1:14">
      <c r="A56" s="8" t="s">
        <v>22</v>
      </c>
      <c r="B56" s="30">
        <f t="shared" si="9"/>
        <v>282925</v>
      </c>
      <c r="C56" s="34">
        <v>27</v>
      </c>
      <c r="D56" s="32" t="s">
        <v>56</v>
      </c>
      <c r="E56" s="33">
        <v>0</v>
      </c>
      <c r="F56" s="30">
        <f t="shared" si="10"/>
        <v>0</v>
      </c>
      <c r="G56" s="20">
        <f>7875+7700+8125+6875+9660+7560+9240+7200+13000+9425+6000+12500+17500+34000+8500+9500+7000+6500+8500+9500+7500+9040+22600+9000+9600+9600+9425</f>
        <v>282925</v>
      </c>
      <c r="H56" s="29"/>
      <c r="I56" s="9"/>
      <c r="J56" s="47"/>
      <c r="K56" s="9" t="s">
        <v>57</v>
      </c>
      <c r="L56" s="32"/>
      <c r="M56" s="32"/>
      <c r="N56" s="48"/>
    </row>
    <row r="57" s="1" customFormat="1" ht="18" customHeight="1" spans="1:14">
      <c r="A57" s="8" t="s">
        <v>22</v>
      </c>
      <c r="B57" s="30">
        <f t="shared" si="9"/>
        <v>137415.41</v>
      </c>
      <c r="C57" s="34"/>
      <c r="D57" s="32" t="s">
        <v>56</v>
      </c>
      <c r="E57" s="33">
        <v>0</v>
      </c>
      <c r="F57" s="30">
        <f t="shared" si="10"/>
        <v>0</v>
      </c>
      <c r="G57" s="20">
        <v>137415.41</v>
      </c>
      <c r="H57" s="29"/>
      <c r="I57" s="9"/>
      <c r="J57" s="47"/>
      <c r="K57" s="9" t="s">
        <v>58</v>
      </c>
      <c r="L57" s="32"/>
      <c r="M57" s="32"/>
      <c r="N57" s="48"/>
    </row>
    <row r="58" s="1" customFormat="1" ht="18" customHeight="1" spans="1:14">
      <c r="A58" s="8" t="s">
        <v>22</v>
      </c>
      <c r="B58" s="30">
        <f t="shared" si="9"/>
        <v>138261.68</v>
      </c>
      <c r="C58" s="34"/>
      <c r="D58" s="32" t="s">
        <v>56</v>
      </c>
      <c r="E58" s="33">
        <v>0</v>
      </c>
      <c r="F58" s="30">
        <f t="shared" si="10"/>
        <v>0</v>
      </c>
      <c r="G58" s="20">
        <v>138261.68</v>
      </c>
      <c r="H58" s="29"/>
      <c r="I58" s="9"/>
      <c r="J58" s="47"/>
      <c r="K58" s="9" t="s">
        <v>58</v>
      </c>
      <c r="L58" s="32"/>
      <c r="M58" s="32"/>
      <c r="N58" s="48"/>
    </row>
    <row r="59" s="1" customFormat="1" ht="18" customHeight="1" spans="1:14">
      <c r="A59" s="8" t="s">
        <v>59</v>
      </c>
      <c r="B59" s="30">
        <f t="shared" si="9"/>
        <v>7569</v>
      </c>
      <c r="C59" s="34">
        <v>106</v>
      </c>
      <c r="D59" s="32" t="s">
        <v>56</v>
      </c>
      <c r="E59" s="33">
        <v>0</v>
      </c>
      <c r="F59" s="30">
        <f t="shared" si="10"/>
        <v>0</v>
      </c>
      <c r="G59" s="20">
        <v>7569</v>
      </c>
      <c r="H59" s="29"/>
      <c r="I59" s="9"/>
      <c r="J59" s="47"/>
      <c r="K59" s="9" t="s">
        <v>60</v>
      </c>
      <c r="L59" s="32"/>
      <c r="M59" s="32"/>
      <c r="N59" s="48"/>
    </row>
    <row r="60" s="1" customFormat="1" ht="18" customHeight="1" spans="1:14">
      <c r="A60" s="8" t="s">
        <v>59</v>
      </c>
      <c r="B60" s="30">
        <f t="shared" si="9"/>
        <v>12362.07</v>
      </c>
      <c r="C60" s="34">
        <v>1</v>
      </c>
      <c r="D60" s="32" t="s">
        <v>43</v>
      </c>
      <c r="E60" s="33">
        <v>0.16</v>
      </c>
      <c r="F60" s="30">
        <f t="shared" si="10"/>
        <v>1977.93</v>
      </c>
      <c r="G60" s="20">
        <v>14340</v>
      </c>
      <c r="H60" s="29"/>
      <c r="I60" s="9"/>
      <c r="J60" s="47" t="s">
        <v>61</v>
      </c>
      <c r="K60" s="9" t="s">
        <v>62</v>
      </c>
      <c r="L60" s="32"/>
      <c r="M60" s="32"/>
      <c r="N60" s="48"/>
    </row>
    <row r="61" s="1" customFormat="1" ht="18" customHeight="1" spans="1:14">
      <c r="A61" s="8" t="s">
        <v>59</v>
      </c>
      <c r="B61" s="30">
        <f t="shared" si="9"/>
        <v>89327.59</v>
      </c>
      <c r="C61" s="34">
        <v>1</v>
      </c>
      <c r="D61" s="32" t="s">
        <v>43</v>
      </c>
      <c r="E61" s="33">
        <v>0.16</v>
      </c>
      <c r="F61" s="30">
        <f t="shared" si="10"/>
        <v>14292.41</v>
      </c>
      <c r="G61" s="20">
        <v>103620</v>
      </c>
      <c r="H61" s="29"/>
      <c r="I61" s="9"/>
      <c r="J61" s="47" t="s">
        <v>63</v>
      </c>
      <c r="K61" s="9" t="s">
        <v>64</v>
      </c>
      <c r="L61" s="32"/>
      <c r="M61" s="32"/>
      <c r="N61" s="48"/>
    </row>
    <row r="62" s="1" customFormat="1" ht="18" customHeight="1" spans="1:14">
      <c r="A62" s="8" t="s">
        <v>59</v>
      </c>
      <c r="B62" s="30">
        <f t="shared" si="9"/>
        <v>98670</v>
      </c>
      <c r="C62" s="34">
        <v>11</v>
      </c>
      <c r="D62" s="32" t="s">
        <v>56</v>
      </c>
      <c r="E62" s="33">
        <v>0</v>
      </c>
      <c r="F62" s="30">
        <f t="shared" si="10"/>
        <v>0</v>
      </c>
      <c r="G62" s="20">
        <f>5350+15730+7480+6610+8000+8000+8000+8000+8500+7000+16000</f>
        <v>98670</v>
      </c>
      <c r="H62" s="29"/>
      <c r="I62" s="9"/>
      <c r="J62" s="47"/>
      <c r="K62" s="9" t="s">
        <v>65</v>
      </c>
      <c r="L62" s="32"/>
      <c r="M62" s="32"/>
      <c r="N62" s="48"/>
    </row>
    <row r="63" s="1" customFormat="1" ht="18" customHeight="1" spans="1:14">
      <c r="A63" s="8" t="s">
        <v>59</v>
      </c>
      <c r="B63" s="30">
        <f t="shared" si="9"/>
        <v>100960</v>
      </c>
      <c r="C63" s="34">
        <v>10</v>
      </c>
      <c r="D63" s="32" t="s">
        <v>56</v>
      </c>
      <c r="E63" s="33">
        <v>0</v>
      </c>
      <c r="F63" s="30">
        <f t="shared" si="10"/>
        <v>0</v>
      </c>
      <c r="G63" s="20">
        <f>10240+10240+10240+10260+8748+10240+10272+10240+10240+10240</f>
        <v>100960</v>
      </c>
      <c r="H63" s="29"/>
      <c r="I63" s="9"/>
      <c r="J63" s="47"/>
      <c r="K63" s="9" t="s">
        <v>66</v>
      </c>
      <c r="L63" s="32"/>
      <c r="M63" s="32"/>
      <c r="N63" s="48"/>
    </row>
    <row r="64" s="1" customFormat="1" ht="18" customHeight="1" spans="1:14">
      <c r="A64" s="8" t="s">
        <v>59</v>
      </c>
      <c r="B64" s="30">
        <f t="shared" si="9"/>
        <v>2775</v>
      </c>
      <c r="C64" s="34">
        <v>19</v>
      </c>
      <c r="D64" s="32" t="s">
        <v>56</v>
      </c>
      <c r="E64" s="33">
        <v>0</v>
      </c>
      <c r="F64" s="30">
        <f t="shared" si="10"/>
        <v>0</v>
      </c>
      <c r="G64" s="20">
        <v>2775</v>
      </c>
      <c r="H64" s="29"/>
      <c r="I64" s="9"/>
      <c r="J64" s="47"/>
      <c r="K64" s="9" t="s">
        <v>67</v>
      </c>
      <c r="L64" s="32"/>
      <c r="M64" s="32"/>
      <c r="N64" s="48"/>
    </row>
    <row r="65" s="1" customFormat="1" ht="18" customHeight="1" spans="1:14">
      <c r="A65" s="8" t="s">
        <v>59</v>
      </c>
      <c r="B65" s="30">
        <f t="shared" si="9"/>
        <v>12343</v>
      </c>
      <c r="C65" s="34">
        <v>107</v>
      </c>
      <c r="D65" s="32" t="s">
        <v>56</v>
      </c>
      <c r="E65" s="33">
        <v>0</v>
      </c>
      <c r="F65" s="30">
        <f t="shared" si="10"/>
        <v>0</v>
      </c>
      <c r="G65" s="20">
        <v>12343</v>
      </c>
      <c r="H65" s="29"/>
      <c r="I65" s="9"/>
      <c r="J65" s="47"/>
      <c r="K65" s="9" t="s">
        <v>68</v>
      </c>
      <c r="L65" s="32"/>
      <c r="M65" s="32"/>
      <c r="N65" s="48"/>
    </row>
    <row r="66" s="1" customFormat="1" ht="18" customHeight="1" spans="1:14">
      <c r="A66" s="8" t="s">
        <v>59</v>
      </c>
      <c r="B66" s="30">
        <f t="shared" si="9"/>
        <v>12185</v>
      </c>
      <c r="C66" s="34">
        <v>13</v>
      </c>
      <c r="D66" s="32" t="s">
        <v>56</v>
      </c>
      <c r="E66" s="33">
        <v>0</v>
      </c>
      <c r="F66" s="30">
        <f t="shared" si="10"/>
        <v>0</v>
      </c>
      <c r="G66" s="20">
        <v>12185</v>
      </c>
      <c r="H66" s="29"/>
      <c r="I66" s="9"/>
      <c r="J66" s="47"/>
      <c r="K66" s="9" t="s">
        <v>69</v>
      </c>
      <c r="L66" s="32"/>
      <c r="M66" s="32"/>
      <c r="N66" s="48"/>
    </row>
    <row r="67" s="1" customFormat="1" ht="18" customHeight="1" spans="1:14">
      <c r="A67" s="8" t="s">
        <v>70</v>
      </c>
      <c r="B67" s="30">
        <f t="shared" si="9"/>
        <v>19000</v>
      </c>
      <c r="C67" s="34">
        <v>1</v>
      </c>
      <c r="D67" s="32" t="s">
        <v>56</v>
      </c>
      <c r="E67" s="33">
        <v>0</v>
      </c>
      <c r="F67" s="30">
        <f t="shared" si="10"/>
        <v>0</v>
      </c>
      <c r="G67" s="20">
        <v>19000</v>
      </c>
      <c r="H67" s="29" t="s">
        <v>22</v>
      </c>
      <c r="I67" s="49">
        <v>1040251.09</v>
      </c>
      <c r="J67" s="47" t="s">
        <v>71</v>
      </c>
      <c r="K67" s="9" t="s">
        <v>72</v>
      </c>
      <c r="L67" s="32"/>
      <c r="M67" s="32"/>
      <c r="N67" s="48"/>
    </row>
    <row r="68" ht="18" customHeight="1" spans="1:14">
      <c r="A68" s="8" t="s">
        <v>70</v>
      </c>
      <c r="B68" s="30">
        <f t="shared" si="9"/>
        <v>33672</v>
      </c>
      <c r="C68" s="34">
        <v>34</v>
      </c>
      <c r="D68" s="32" t="s">
        <v>56</v>
      </c>
      <c r="E68" s="33">
        <v>0</v>
      </c>
      <c r="F68" s="30">
        <f t="shared" si="10"/>
        <v>0</v>
      </c>
      <c r="G68" s="20">
        <v>33672</v>
      </c>
      <c r="H68" s="29" t="s">
        <v>73</v>
      </c>
      <c r="I68" s="49">
        <v>529666.75</v>
      </c>
      <c r="J68" s="47" t="s">
        <v>71</v>
      </c>
      <c r="K68" s="9" t="s">
        <v>74</v>
      </c>
      <c r="L68" s="16"/>
      <c r="M68" s="16"/>
      <c r="N68" s="50"/>
    </row>
    <row r="69" ht="18" customHeight="1" spans="1:14">
      <c r="A69" s="8" t="s">
        <v>75</v>
      </c>
      <c r="B69" s="30">
        <f t="shared" si="9"/>
        <v>2830.19</v>
      </c>
      <c r="C69" s="34">
        <v>1</v>
      </c>
      <c r="D69" s="32" t="s">
        <v>43</v>
      </c>
      <c r="E69" s="33">
        <v>0.06</v>
      </c>
      <c r="F69" s="30">
        <f t="shared" si="10"/>
        <v>169.81</v>
      </c>
      <c r="G69" s="20">
        <v>3000</v>
      </c>
      <c r="H69" s="29" t="s">
        <v>25</v>
      </c>
      <c r="I69" s="49">
        <v>316292.19</v>
      </c>
      <c r="J69" s="47" t="s">
        <v>71</v>
      </c>
      <c r="K69" s="9" t="s">
        <v>76</v>
      </c>
      <c r="L69" s="16"/>
      <c r="M69" s="16"/>
      <c r="N69" s="50"/>
    </row>
    <row r="70" ht="18" customHeight="1" spans="1:14">
      <c r="A70" s="8" t="s">
        <v>77</v>
      </c>
      <c r="B70" s="30">
        <f t="shared" si="9"/>
        <v>2320</v>
      </c>
      <c r="C70" s="34">
        <v>21</v>
      </c>
      <c r="D70" s="32" t="s">
        <v>56</v>
      </c>
      <c r="E70" s="33">
        <v>0</v>
      </c>
      <c r="F70" s="30">
        <f t="shared" si="10"/>
        <v>0</v>
      </c>
      <c r="G70" s="20">
        <v>2320</v>
      </c>
      <c r="H70" s="29"/>
      <c r="I70" s="9"/>
      <c r="J70" s="59"/>
      <c r="K70" s="9" t="s">
        <v>78</v>
      </c>
      <c r="L70" s="16"/>
      <c r="M70" s="16"/>
      <c r="N70" s="50"/>
    </row>
    <row r="71" ht="18" customHeight="1" spans="1:14">
      <c r="A71" s="8" t="s">
        <v>27</v>
      </c>
      <c r="B71" s="30">
        <f t="shared" si="9"/>
        <v>569724.77</v>
      </c>
      <c r="C71" s="34">
        <v>6</v>
      </c>
      <c r="D71" s="32" t="s">
        <v>43</v>
      </c>
      <c r="E71" s="33">
        <v>0.09</v>
      </c>
      <c r="F71" s="30">
        <f t="shared" si="10"/>
        <v>51275.23</v>
      </c>
      <c r="G71" s="20">
        <f>108900*5+76500</f>
        <v>621000</v>
      </c>
      <c r="H71" s="29" t="s">
        <v>27</v>
      </c>
      <c r="I71" s="9">
        <v>597325.7</v>
      </c>
      <c r="J71" s="59" t="s">
        <v>79</v>
      </c>
      <c r="K71" s="9">
        <v>2445904</v>
      </c>
      <c r="L71" s="16"/>
      <c r="M71" s="16"/>
      <c r="N71" s="50"/>
    </row>
    <row r="72" ht="18" customHeight="1" spans="1:14">
      <c r="A72" s="8">
        <v>44531</v>
      </c>
      <c r="B72" s="30">
        <f t="shared" si="9"/>
        <v>0</v>
      </c>
      <c r="C72" s="34">
        <v>14</v>
      </c>
      <c r="D72" s="32" t="s">
        <v>43</v>
      </c>
      <c r="E72" s="33">
        <v>0.09</v>
      </c>
      <c r="F72" s="30">
        <f t="shared" si="10"/>
        <v>0</v>
      </c>
      <c r="G72" s="20"/>
      <c r="H72" s="29"/>
      <c r="I72" s="9"/>
      <c r="J72" s="59" t="s">
        <v>79</v>
      </c>
      <c r="K72" s="9" t="s">
        <v>110</v>
      </c>
      <c r="L72" s="16" t="s">
        <v>111</v>
      </c>
      <c r="M72" s="16"/>
      <c r="N72" s="50"/>
    </row>
    <row r="73" ht="18" customHeight="1" spans="1:14">
      <c r="A73" s="8"/>
      <c r="B73" s="30">
        <f t="shared" si="9"/>
        <v>0</v>
      </c>
      <c r="C73" s="34"/>
      <c r="D73" s="32"/>
      <c r="E73" s="33">
        <v>0</v>
      </c>
      <c r="F73" s="30">
        <f t="shared" si="10"/>
        <v>0</v>
      </c>
      <c r="G73" s="20"/>
      <c r="H73" s="29"/>
      <c r="I73" s="9"/>
      <c r="J73" s="59"/>
      <c r="K73" s="9"/>
      <c r="L73" s="16"/>
      <c r="M73" s="16"/>
      <c r="N73" s="50"/>
    </row>
    <row r="74" ht="18" customHeight="1" spans="1:14">
      <c r="A74" s="8"/>
      <c r="B74" s="30">
        <f t="shared" si="9"/>
        <v>0</v>
      </c>
      <c r="C74" s="34"/>
      <c r="D74" s="32"/>
      <c r="E74" s="33"/>
      <c r="F74" s="30">
        <f t="shared" si="10"/>
        <v>0</v>
      </c>
      <c r="G74" s="20"/>
      <c r="H74" s="29"/>
      <c r="I74" s="9"/>
      <c r="J74" s="59"/>
      <c r="K74" s="9"/>
      <c r="L74" s="16"/>
      <c r="M74" s="16"/>
      <c r="N74" s="50"/>
    </row>
    <row r="75" ht="18" customHeight="1" spans="1:14">
      <c r="A75" s="8"/>
      <c r="B75" s="30">
        <f t="shared" si="9"/>
        <v>0</v>
      </c>
      <c r="C75" s="34"/>
      <c r="D75" s="32"/>
      <c r="E75" s="33"/>
      <c r="F75" s="30">
        <f t="shared" si="10"/>
        <v>0</v>
      </c>
      <c r="G75" s="20"/>
      <c r="H75" s="29"/>
      <c r="I75" s="9"/>
      <c r="J75" s="59"/>
      <c r="K75" s="9"/>
      <c r="L75" s="16"/>
      <c r="M75" s="16"/>
      <c r="N75" s="50"/>
    </row>
    <row r="76" ht="18" customHeight="1" spans="1:14">
      <c r="A76" s="8"/>
      <c r="B76" s="30">
        <f t="shared" si="9"/>
        <v>0</v>
      </c>
      <c r="C76" s="34"/>
      <c r="D76" s="32"/>
      <c r="E76" s="33"/>
      <c r="F76" s="30">
        <f t="shared" si="10"/>
        <v>0</v>
      </c>
      <c r="G76" s="20"/>
      <c r="H76" s="29"/>
      <c r="I76" s="60">
        <v>1662</v>
      </c>
      <c r="J76" s="61" t="s">
        <v>112</v>
      </c>
      <c r="K76" s="9"/>
      <c r="L76" s="16"/>
      <c r="M76" s="16"/>
      <c r="N76" s="50"/>
    </row>
    <row r="77" ht="18" customHeight="1" spans="1:14">
      <c r="A77" s="8"/>
      <c r="B77" s="30">
        <f t="shared" si="9"/>
        <v>0</v>
      </c>
      <c r="C77" s="34"/>
      <c r="D77" s="32"/>
      <c r="E77" s="33"/>
      <c r="F77" s="30">
        <f t="shared" si="10"/>
        <v>0</v>
      </c>
      <c r="G77" s="20"/>
      <c r="H77" s="29"/>
      <c r="I77" s="60">
        <v>40160.42</v>
      </c>
      <c r="J77" s="61" t="s">
        <v>113</v>
      </c>
      <c r="K77" s="9"/>
      <c r="L77" s="16"/>
      <c r="M77" s="16"/>
      <c r="N77" s="50"/>
    </row>
    <row r="78" ht="18" customHeight="1" spans="1:14">
      <c r="A78" s="8"/>
      <c r="B78" s="30">
        <f t="shared" si="9"/>
        <v>0</v>
      </c>
      <c r="C78" s="34"/>
      <c r="D78" s="32"/>
      <c r="E78" s="33"/>
      <c r="F78" s="30">
        <f t="shared" si="10"/>
        <v>0</v>
      </c>
      <c r="G78" s="20"/>
      <c r="H78" s="29"/>
      <c r="I78" s="62">
        <v>6715.95</v>
      </c>
      <c r="J78" s="63" t="s">
        <v>114</v>
      </c>
      <c r="K78" s="9"/>
      <c r="L78" s="16"/>
      <c r="M78" s="16"/>
      <c r="N78" s="50"/>
    </row>
    <row r="79" ht="18" customHeight="1" spans="1:14">
      <c r="A79" s="8"/>
      <c r="B79" s="30">
        <f t="shared" si="9"/>
        <v>100</v>
      </c>
      <c r="C79" s="34"/>
      <c r="D79" s="32"/>
      <c r="E79" s="33"/>
      <c r="F79" s="30">
        <f t="shared" si="10"/>
        <v>0</v>
      </c>
      <c r="G79" s="20">
        <v>100</v>
      </c>
      <c r="H79" s="29" t="s">
        <v>27</v>
      </c>
      <c r="I79" s="30">
        <v>100</v>
      </c>
      <c r="J79" s="59" t="s">
        <v>80</v>
      </c>
      <c r="K79" s="9"/>
      <c r="L79" s="16"/>
      <c r="M79" s="16"/>
      <c r="N79" s="50"/>
    </row>
    <row r="80" ht="18" customHeight="1" spans="1:14">
      <c r="A80" s="8"/>
      <c r="B80" s="30">
        <f t="shared" si="9"/>
        <v>13527.1</v>
      </c>
      <c r="C80" s="34"/>
      <c r="D80" s="32"/>
      <c r="E80" s="33"/>
      <c r="F80" s="30">
        <f t="shared" si="10"/>
        <v>0</v>
      </c>
      <c r="G80" s="20">
        <v>13527.1</v>
      </c>
      <c r="H80" s="29" t="s">
        <v>27</v>
      </c>
      <c r="I80" s="62">
        <v>13527.1</v>
      </c>
      <c r="J80" s="63" t="s">
        <v>81</v>
      </c>
      <c r="K80" s="9"/>
      <c r="L80" s="16"/>
      <c r="M80" s="16"/>
      <c r="N80" s="50"/>
    </row>
    <row r="81" ht="18" customHeight="1" spans="1:14">
      <c r="A81" s="8"/>
      <c r="B81" s="30">
        <f t="shared" si="9"/>
        <v>7095.98</v>
      </c>
      <c r="C81" s="34"/>
      <c r="D81" s="32"/>
      <c r="E81" s="33"/>
      <c r="F81" s="30">
        <f t="shared" si="10"/>
        <v>0</v>
      </c>
      <c r="G81" s="20">
        <v>7095.98</v>
      </c>
      <c r="H81" s="29" t="s">
        <v>82</v>
      </c>
      <c r="I81" s="62">
        <v>7095.98</v>
      </c>
      <c r="J81" s="63" t="s">
        <v>81</v>
      </c>
      <c r="K81" s="9"/>
      <c r="L81" s="16"/>
      <c r="M81" s="16"/>
      <c r="N81" s="50"/>
    </row>
    <row r="82" ht="18" customHeight="1" spans="1:14">
      <c r="A82" s="8"/>
      <c r="B82" s="30">
        <f t="shared" si="9"/>
        <v>35220.9</v>
      </c>
      <c r="C82" s="34"/>
      <c r="D82" s="32"/>
      <c r="E82" s="33"/>
      <c r="F82" s="30">
        <f t="shared" si="10"/>
        <v>0</v>
      </c>
      <c r="G82" s="20">
        <v>35220.9</v>
      </c>
      <c r="H82" s="29" t="s">
        <v>22</v>
      </c>
      <c r="I82" s="62">
        <v>35220.9</v>
      </c>
      <c r="J82" s="63" t="s">
        <v>81</v>
      </c>
      <c r="K82" s="9"/>
      <c r="L82" s="16"/>
      <c r="M82" s="16"/>
      <c r="N82" s="50"/>
    </row>
    <row r="83" ht="18" customHeight="1" spans="1:14">
      <c r="A83" s="8"/>
      <c r="B83" s="30">
        <f t="shared" si="9"/>
        <v>0</v>
      </c>
      <c r="C83" s="34"/>
      <c r="D83" s="32"/>
      <c r="E83" s="33"/>
      <c r="F83" s="30">
        <f t="shared" si="10"/>
        <v>0</v>
      </c>
      <c r="G83" s="20"/>
      <c r="H83" s="29" t="s">
        <v>27</v>
      </c>
      <c r="I83" s="62">
        <f>G15*0.05</f>
        <v>32155.4115</v>
      </c>
      <c r="J83" s="63" t="s">
        <v>81</v>
      </c>
      <c r="K83" s="9"/>
      <c r="L83" s="16"/>
      <c r="M83" s="16"/>
      <c r="N83" s="50"/>
    </row>
    <row r="84" ht="18" customHeight="1" spans="1:14">
      <c r="A84" s="8"/>
      <c r="B84" s="30">
        <f t="shared" si="9"/>
        <v>17020.43</v>
      </c>
      <c r="C84" s="34"/>
      <c r="D84" s="32"/>
      <c r="E84" s="33"/>
      <c r="F84" s="30">
        <f t="shared" si="10"/>
        <v>0</v>
      </c>
      <c r="G84" s="20">
        <v>17020.43</v>
      </c>
      <c r="H84" s="29" t="s">
        <v>83</v>
      </c>
      <c r="I84" s="30">
        <v>17020.43</v>
      </c>
      <c r="J84" s="59" t="s">
        <v>84</v>
      </c>
      <c r="K84" s="9"/>
      <c r="L84" s="16"/>
      <c r="M84" s="16"/>
      <c r="N84" s="50"/>
    </row>
    <row r="85" ht="18" customHeight="1" spans="1:14">
      <c r="A85" s="8"/>
      <c r="B85" s="30">
        <f t="shared" si="9"/>
        <v>56603.79</v>
      </c>
      <c r="C85" s="34"/>
      <c r="D85" s="32"/>
      <c r="E85" s="33"/>
      <c r="F85" s="30">
        <f t="shared" si="10"/>
        <v>0</v>
      </c>
      <c r="G85" s="20">
        <v>56603.79</v>
      </c>
      <c r="H85" s="29" t="s">
        <v>85</v>
      </c>
      <c r="I85" s="64">
        <v>56603.7885</v>
      </c>
      <c r="J85" s="59" t="s">
        <v>84</v>
      </c>
      <c r="K85" s="9"/>
      <c r="L85" s="16"/>
      <c r="M85" s="16"/>
      <c r="N85" s="50"/>
    </row>
    <row r="86" ht="18" customHeight="1" spans="1:14">
      <c r="A86" s="8"/>
      <c r="B86" s="30">
        <f t="shared" si="9"/>
        <v>27877.2</v>
      </c>
      <c r="C86" s="34"/>
      <c r="D86" s="32"/>
      <c r="E86" s="33"/>
      <c r="F86" s="30">
        <f t="shared" si="10"/>
        <v>0</v>
      </c>
      <c r="G86" s="20">
        <v>27877.2</v>
      </c>
      <c r="H86" s="29" t="s">
        <v>86</v>
      </c>
      <c r="I86" s="64">
        <v>27877.197</v>
      </c>
      <c r="J86" s="59" t="s">
        <v>84</v>
      </c>
      <c r="K86" s="9"/>
      <c r="L86" s="16"/>
      <c r="M86" s="16"/>
      <c r="N86" s="50"/>
    </row>
    <row r="87" ht="18" customHeight="1" spans="1:14">
      <c r="A87" s="8"/>
      <c r="B87" s="30">
        <f t="shared" si="9"/>
        <v>0</v>
      </c>
      <c r="C87" s="34"/>
      <c r="D87" s="32"/>
      <c r="E87" s="33"/>
      <c r="F87" s="30">
        <f t="shared" si="10"/>
        <v>0</v>
      </c>
      <c r="G87" s="20"/>
      <c r="H87" s="29"/>
      <c r="I87" s="9"/>
      <c r="J87" s="59"/>
      <c r="K87" s="9"/>
      <c r="L87" s="16"/>
      <c r="M87" s="16"/>
      <c r="N87" s="50"/>
    </row>
    <row r="88" ht="18" customHeight="1" spans="1:14">
      <c r="A88" s="9" t="s">
        <v>28</v>
      </c>
      <c r="B88" s="49">
        <f>SUM(B43:B87)</f>
        <v>2519179.35</v>
      </c>
      <c r="C88" s="9"/>
      <c r="D88" s="50"/>
      <c r="E88" s="50"/>
      <c r="F88" s="19">
        <f>SUM(F43:F87)</f>
        <v>192683.42</v>
      </c>
      <c r="G88" s="9">
        <f>SUM(G43:G87)</f>
        <v>2711862.77</v>
      </c>
      <c r="H88" s="50"/>
      <c r="I88" s="9">
        <f>SUM(I43:I87)</f>
        <v>2721674.907</v>
      </c>
      <c r="J88" s="42"/>
      <c r="K88" s="28"/>
      <c r="L88" s="65"/>
      <c r="M88" s="65"/>
      <c r="N88" s="28"/>
    </row>
    <row r="89" ht="18" customHeight="1" spans="1:14">
      <c r="A89" s="13"/>
      <c r="B89" s="13">
        <f>B40-B88</f>
        <v>3502059.95934112</v>
      </c>
      <c r="C89" s="13"/>
      <c r="D89" s="28"/>
      <c r="E89" s="28"/>
      <c r="F89" s="13"/>
      <c r="G89" s="13"/>
      <c r="H89" s="28"/>
      <c r="I89" s="13"/>
      <c r="J89" s="28"/>
      <c r="K89" s="28"/>
      <c r="L89" s="28"/>
      <c r="M89" s="28"/>
      <c r="N89" s="28"/>
    </row>
    <row r="90" ht="18" customHeight="1" spans="1:14">
      <c r="A90" s="15" t="s">
        <v>87</v>
      </c>
      <c r="B90" s="13"/>
      <c r="C90" s="15"/>
      <c r="D90" s="13"/>
      <c r="E90" s="13"/>
      <c r="F90" s="51" t="s">
        <v>115</v>
      </c>
      <c r="G90" s="52">
        <f>I83+I82+I81+I80</f>
        <v>87999.3915</v>
      </c>
      <c r="H90" s="13"/>
      <c r="I90" s="13"/>
      <c r="J90" s="28"/>
      <c r="K90" s="28"/>
      <c r="L90" s="28"/>
      <c r="M90" s="28"/>
      <c r="N90" s="28"/>
    </row>
    <row r="91" ht="18" customHeight="1" spans="1:14">
      <c r="A91" s="16" t="s">
        <v>88</v>
      </c>
      <c r="B91" s="10" t="s">
        <v>89</v>
      </c>
      <c r="C91" s="50"/>
      <c r="D91" s="16" t="s">
        <v>88</v>
      </c>
      <c r="E91" s="10" t="s">
        <v>17</v>
      </c>
      <c r="F91" s="10" t="s">
        <v>89</v>
      </c>
      <c r="G91" s="10" t="s">
        <v>116</v>
      </c>
      <c r="H91" s="13"/>
      <c r="I91" s="52" t="s">
        <v>113</v>
      </c>
      <c r="J91" s="28"/>
      <c r="K91" s="28"/>
      <c r="L91" s="28"/>
      <c r="M91" s="28"/>
      <c r="N91" s="28"/>
    </row>
    <row r="92" ht="18" customHeight="1" spans="1:14">
      <c r="A92" s="50" t="s">
        <v>91</v>
      </c>
      <c r="B92" s="30">
        <f>(B40-B88)*0.25</f>
        <v>875514.989835279</v>
      </c>
      <c r="C92" s="50"/>
      <c r="D92" s="7" t="s">
        <v>92</v>
      </c>
      <c r="E92" s="16" t="s">
        <v>93</v>
      </c>
      <c r="F92" s="26">
        <f>F40-F88</f>
        <v>247258.13447206</v>
      </c>
      <c r="G92" s="26">
        <f>SUM(D7:D25)</f>
        <v>84567.2716914095</v>
      </c>
      <c r="H92" s="13"/>
      <c r="I92" s="66">
        <f>SUM(D26:D35)</f>
        <v>35857.5144954128</v>
      </c>
      <c r="J92" s="28"/>
      <c r="K92" s="28"/>
      <c r="L92" s="28"/>
      <c r="M92" s="28"/>
      <c r="N92" s="28"/>
    </row>
    <row r="93" ht="18" customHeight="1" spans="1:14">
      <c r="A93" s="50" t="s">
        <v>94</v>
      </c>
      <c r="B93" s="9">
        <f>G40*0.0003</f>
        <v>1974.481695</v>
      </c>
      <c r="C93" s="50"/>
      <c r="D93" s="53" t="s">
        <v>95</v>
      </c>
      <c r="E93" s="10">
        <v>0.07</v>
      </c>
      <c r="F93" s="9">
        <f>F92*E93</f>
        <v>17308.0694130442</v>
      </c>
      <c r="G93" s="9">
        <f>G92*0.07</f>
        <v>5919.70901839867</v>
      </c>
      <c r="H93" s="13"/>
      <c r="I93" s="52">
        <f>I92*0.07</f>
        <v>2510.0260146789</v>
      </c>
      <c r="J93" s="28"/>
      <c r="K93" s="28"/>
      <c r="L93" s="28"/>
      <c r="M93" s="28"/>
      <c r="N93" s="28"/>
    </row>
    <row r="94" ht="18" customHeight="1" spans="1:14">
      <c r="A94" s="50" t="s">
        <v>96</v>
      </c>
      <c r="B94" s="9">
        <f>B40*0.0006</f>
        <v>3612.74358560467</v>
      </c>
      <c r="C94" s="50"/>
      <c r="D94" s="53" t="s">
        <v>97</v>
      </c>
      <c r="E94" s="10">
        <v>0.03</v>
      </c>
      <c r="F94" s="9">
        <f>F92*E94</f>
        <v>7417.7440341618</v>
      </c>
      <c r="G94" s="9">
        <f>G92*E94</f>
        <v>2537.01815074229</v>
      </c>
      <c r="H94" s="13"/>
      <c r="I94" s="52">
        <f>I92*0.03</f>
        <v>1075.72543486239</v>
      </c>
      <c r="J94" s="28"/>
      <c r="K94" s="28"/>
      <c r="L94" s="28"/>
      <c r="M94" s="28"/>
      <c r="N94" s="28"/>
    </row>
    <row r="95" ht="18" customHeight="1" spans="1:14">
      <c r="A95" s="50"/>
      <c r="B95" s="50"/>
      <c r="C95" s="50"/>
      <c r="D95" s="53" t="s">
        <v>98</v>
      </c>
      <c r="E95" s="10">
        <v>0.02</v>
      </c>
      <c r="F95" s="9">
        <f>F92*E95</f>
        <v>4945.1626894412</v>
      </c>
      <c r="G95" s="9">
        <f>G92*E95</f>
        <v>1691.34543382819</v>
      </c>
      <c r="H95" s="13"/>
      <c r="I95" s="52">
        <f>I92*0.02</f>
        <v>717.150289908257</v>
      </c>
      <c r="J95" s="28"/>
      <c r="K95" s="28"/>
      <c r="L95" s="28"/>
      <c r="M95" s="28"/>
      <c r="N95" s="28"/>
    </row>
    <row r="96" ht="18" customHeight="1" spans="1:14">
      <c r="A96" s="7" t="s">
        <v>99</v>
      </c>
      <c r="B96" s="49">
        <f>SUM(B92:B95)</f>
        <v>881102.215115884</v>
      </c>
      <c r="C96" s="50"/>
      <c r="D96" s="7" t="s">
        <v>99</v>
      </c>
      <c r="E96" s="7"/>
      <c r="F96" s="26">
        <f>SUM(F92:F95)</f>
        <v>276929.110608707</v>
      </c>
      <c r="G96" s="26">
        <f>SUM(G92:G95)</f>
        <v>94715.3442943787</v>
      </c>
      <c r="H96" s="13"/>
      <c r="I96" s="66">
        <f>SUM(I92:I95)</f>
        <v>40160.4162348624</v>
      </c>
      <c r="J96" s="28"/>
      <c r="K96" s="28"/>
      <c r="L96" s="28"/>
      <c r="M96" s="28"/>
      <c r="N96" s="28"/>
    </row>
    <row r="97" ht="18" customHeight="1" spans="3:9">
      <c r="C97" s="2"/>
      <c r="D97" s="50" t="s">
        <v>94</v>
      </c>
      <c r="E97" s="54">
        <v>0.0003</v>
      </c>
      <c r="F97" s="55"/>
      <c r="G97" s="56"/>
      <c r="I97" s="52">
        <f>SUM(G26:G35)*0.0003</f>
        <v>586.270362</v>
      </c>
    </row>
    <row r="98" ht="18" customHeight="1" spans="3:9">
      <c r="C98" s="2"/>
      <c r="D98" s="50" t="s">
        <v>96</v>
      </c>
      <c r="E98" s="54">
        <v>0.0006</v>
      </c>
      <c r="F98" s="55"/>
      <c r="G98" s="56"/>
      <c r="I98" s="52">
        <f>SUM(B26:B35)*0.0006</f>
        <v>1075.72543486239</v>
      </c>
    </row>
    <row r="99" ht="18" customHeight="1" spans="3:9">
      <c r="C99" s="2"/>
      <c r="D99" s="56" t="s">
        <v>99</v>
      </c>
      <c r="E99" s="56"/>
      <c r="F99" s="55"/>
      <c r="G99" s="56"/>
      <c r="I99" s="57">
        <f>SUM(I97:I98)</f>
        <v>1661.99579686238</v>
      </c>
    </row>
    <row r="100" ht="18" customHeight="1" spans="3:7">
      <c r="C100" s="2"/>
      <c r="D100" s="57" t="s">
        <v>117</v>
      </c>
      <c r="E100" s="57"/>
      <c r="F100" s="58"/>
      <c r="G100" s="57">
        <f>G96-G90</f>
        <v>6715.95279437865</v>
      </c>
    </row>
    <row r="101" spans="3:7">
      <c r="C101" s="2"/>
      <c r="F101" s="4"/>
      <c r="G101" s="4"/>
    </row>
    <row r="102" spans="3:7">
      <c r="C102" s="2"/>
      <c r="F102" s="4"/>
      <c r="G102" s="4"/>
    </row>
    <row r="103" spans="3:7">
      <c r="C103" s="2"/>
      <c r="F103" s="4"/>
      <c r="G103" s="4"/>
    </row>
    <row r="104" spans="3:7">
      <c r="C104" s="2"/>
      <c r="F104" s="4"/>
      <c r="G104" s="4"/>
    </row>
    <row r="105" spans="3:7">
      <c r="C105" s="2"/>
      <c r="F105" s="4"/>
      <c r="G105" s="4"/>
    </row>
    <row r="106" spans="3:7">
      <c r="C106" s="2"/>
      <c r="F106" s="4"/>
      <c r="G106" s="4"/>
    </row>
    <row r="107" spans="3:7">
      <c r="C107" s="2"/>
      <c r="F107" s="4"/>
      <c r="G107" s="4"/>
    </row>
    <row r="108" spans="3:7">
      <c r="C108" s="2"/>
      <c r="F108" s="4"/>
      <c r="G108" s="4"/>
    </row>
    <row r="109" spans="3:7">
      <c r="C109" s="2"/>
      <c r="F109" s="4"/>
      <c r="G109" s="4"/>
    </row>
    <row r="110" spans="3:7">
      <c r="C110" s="2"/>
      <c r="F110" s="4"/>
      <c r="G110" s="4"/>
    </row>
    <row r="111" spans="3:7">
      <c r="C111" s="2"/>
      <c r="F111" s="4"/>
      <c r="G111" s="4"/>
    </row>
    <row r="112" spans="3:7">
      <c r="C112" s="2"/>
      <c r="F112" s="4"/>
      <c r="G112" s="4"/>
    </row>
    <row r="113" spans="3:3">
      <c r="C113" s="2"/>
    </row>
    <row r="114" spans="3:3">
      <c r="C114" s="2"/>
    </row>
    <row r="115" spans="3:3">
      <c r="C115" s="2"/>
    </row>
    <row r="116" spans="3:3">
      <c r="C116" s="2"/>
    </row>
    <row r="117" spans="3:3">
      <c r="C117" s="2"/>
    </row>
    <row r="118" spans="3:3">
      <c r="C118" s="2"/>
    </row>
    <row r="119" spans="3:3">
      <c r="C119" s="2"/>
    </row>
    <row r="120" spans="3:3">
      <c r="C120" s="2"/>
    </row>
  </sheetData>
  <autoFilter ref="A42:N100">
    <extLst/>
  </autoFilter>
  <mergeCells count="8">
    <mergeCell ref="A1:I1"/>
    <mergeCell ref="H2:I2"/>
    <mergeCell ref="C5:D5"/>
    <mergeCell ref="E5:F5"/>
    <mergeCell ref="H5:I5"/>
    <mergeCell ref="A5:A6"/>
    <mergeCell ref="B5:B6"/>
    <mergeCell ref="G5:G6"/>
  </mergeCells>
  <pageMargins left="0.7" right="0.7" top="0.75" bottom="0.75" header="0.3" footer="0.3"/>
  <pageSetup paperSize="9" scale="71" orientation="portrait"/>
  <headerFooter/>
  <rowBreaks count="1" manualBreakCount="1">
    <brk id="89" max="16383" man="1"/>
  </rowBreaks>
  <colBreaks count="1" manualBreakCount="1">
    <brk id="10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G8" rgbClr="EF9F14"/>
    <comment s:ref="E31" rgbClr="EF9F14"/>
    <comment s:ref="G31" rgbClr="EF9F14"/>
    <comment s:ref="A80" rgbClr="EF9F14"/>
    <comment s:ref="A81" rgbClr="EF9F14"/>
  </commentList>
  <commentList sheetStid="1">
    <comment s:ref="D97" rgbClr="EFCB2C"/>
    <comment s:ref="D98" rgbClr="EFCB2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旧</vt:lpstr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2021-12-14T03:09:00Z</dcterms:created>
  <dcterms:modified xsi:type="dcterms:W3CDTF">2021-12-14T05:42:49Z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011B7995927C48BB979E1B8566C043DA</vt:lpwstr>
  </property>
  <property fmtid="{D5CDD505-2E9C-101B-9397-08002B2CF9AE}" pid="3" name="KSOProductBuildVer">
    <vt:lpwstr>2052-11.1.0.11194</vt:lpwstr>
  </property>
</Properties>
</file>