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3"/>
  </bookViews>
  <sheets>
    <sheet name="1-3次" sheetId="1" r:id="rId1"/>
    <sheet name="4次" sheetId="2" r:id="rId2"/>
    <sheet name="Sheet1" sheetId="3" r:id="rId3"/>
    <sheet name="新" sheetId="4" r:id="rId4"/>
  </sheets>
  <definedNames>
    <definedName name="_xlnm._FilterDatabase" localSheetId="0" hidden="1">'1-3次'!$A$14:$O$57</definedName>
    <definedName name="_xlnm._FilterDatabase" localSheetId="3" hidden="1">新!$A$15:$O$73</definedName>
    <definedName name="_xlnm._FilterDatabase" localSheetId="1" hidden="1">'4次'!$A$14:$R$73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A4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A56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7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67" authorId="1">
      <text>
        <r>
          <rPr>
            <sz val="9"/>
            <rFont val="宋体"/>
            <charset val="134"/>
          </rPr>
          <t>cw09:
实际扣除28w</t>
        </r>
      </text>
    </comment>
    <comment ref="G73" authorId="1">
      <text>
        <r>
          <rPr>
            <sz val="9"/>
            <rFont val="宋体"/>
            <charset val="134"/>
          </rPr>
          <t>cw09:
已收款30523.25元  19.9.9日已打孙会计卡
已退30523.25元    2019.10.10</t>
        </r>
      </text>
    </comment>
    <comment ref="H73" authorId="1">
      <text>
        <r>
          <rPr>
            <sz val="9"/>
            <rFont val="宋体"/>
            <charset val="134"/>
          </rPr>
          <t>cw09:
已预缴</t>
        </r>
      </text>
    </comment>
  </commentList>
</comments>
</file>

<file path=xl/comments3.xml><?xml version="1.0" encoding="utf-8"?>
<comments xmlns="http://schemas.openxmlformats.org/spreadsheetml/2006/main">
  <authors>
    <author>cw05</author>
    <author>cw09</author>
  </authors>
  <commentList>
    <comment ref="A6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6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78" authorId="1">
      <text>
        <r>
          <rPr>
            <sz val="9"/>
            <rFont val="宋体"/>
            <charset val="134"/>
          </rPr>
          <t>cw09:
实际扣除28w</t>
        </r>
      </text>
    </comment>
    <comment ref="G84" authorId="1">
      <text>
        <r>
          <rPr>
            <sz val="9"/>
            <rFont val="宋体"/>
            <charset val="134"/>
          </rPr>
          <t>cw09:
已收款30523.25元  19.9.9日已打孙会计卡
已退30523.25元    2019.10.10</t>
        </r>
      </text>
    </comment>
    <comment ref="H84" authorId="1">
      <text>
        <r>
          <rPr>
            <sz val="9"/>
            <rFont val="宋体"/>
            <charset val="134"/>
          </rPr>
          <t>cw09:
已预缴</t>
        </r>
      </text>
    </comment>
  </commentList>
</comments>
</file>

<file path=xl/sharedStrings.xml><?xml version="1.0" encoding="utf-8"?>
<sst xmlns="http://schemas.openxmlformats.org/spreadsheetml/2006/main" count="607" uniqueCount="113">
  <si>
    <t>商城县2017年农村公路安防工程SCABGC-2017-7合同段</t>
  </si>
  <si>
    <t>中标日期</t>
  </si>
  <si>
    <t>中标价</t>
  </si>
  <si>
    <t>负责人</t>
  </si>
  <si>
    <t>孙健</t>
  </si>
  <si>
    <t>建设单位</t>
  </si>
  <si>
    <t>商城县交通运输局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</si>
  <si>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</si>
  <si>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</si>
  <si>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</si>
  <si>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</si>
  <si>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</si>
  <si>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</si>
  <si>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</si>
  <si>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</si>
  <si>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</si>
  <si>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</si>
  <si>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</si>
  <si>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</si>
  <si>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</si>
  <si>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</si>
  <si>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</si>
  <si>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</si>
  <si>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</si>
  <si>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</si>
  <si>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</si>
  <si>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</si>
  <si>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</si>
  <si>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</si>
  <si>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</si>
  <si>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</si>
  <si>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</si>
  <si>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</si>
  <si>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</si>
  <si>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</si>
  <si>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</si>
  <si>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18-12-</t>
  </si>
  <si>
    <t>徽行</t>
  </si>
  <si>
    <t>李想</t>
  </si>
  <si>
    <t>冠县新益源交通设施有限公司</t>
  </si>
  <si>
    <t>护栏立柱</t>
  </si>
  <si>
    <t>专</t>
  </si>
  <si>
    <t>普代</t>
  </si>
  <si>
    <t>刘家刚</t>
  </si>
  <si>
    <t>劳务费</t>
  </si>
  <si>
    <t>吴泽海</t>
  </si>
  <si>
    <t>机械设备租赁费</t>
  </si>
  <si>
    <t>护栏板58.422吨、立柱38.56吨</t>
  </si>
  <si>
    <t>普</t>
  </si>
  <si>
    <t>商城县泰贻建筑劳务有限公司</t>
  </si>
  <si>
    <t>机械租赁</t>
  </si>
  <si>
    <t>护栏板180.896吨、立柱141.18吨</t>
  </si>
  <si>
    <t>少清单</t>
  </si>
  <si>
    <t>3次</t>
  </si>
  <si>
    <t>暂扣</t>
  </si>
  <si>
    <t>企税</t>
  </si>
  <si>
    <t>扣</t>
  </si>
  <si>
    <t>水利基金和印花税</t>
  </si>
  <si>
    <t>手续费</t>
  </si>
  <si>
    <t>管理费</t>
  </si>
  <si>
    <t>2次</t>
  </si>
  <si>
    <t>1次</t>
  </si>
  <si>
    <t>退</t>
  </si>
  <si>
    <t>上次暂扣企税</t>
  </si>
  <si>
    <t>预留</t>
  </si>
  <si>
    <t>损失准备金1%</t>
  </si>
  <si>
    <t>代办费</t>
  </si>
  <si>
    <t>尚需提供成本</t>
  </si>
  <si>
    <t>可支付金额</t>
  </si>
  <si>
    <t>公司代缴税金：</t>
  </si>
  <si>
    <t>税种</t>
  </si>
  <si>
    <t>税额</t>
  </si>
  <si>
    <t>19.2月开票扣税</t>
  </si>
  <si>
    <t>开票应缴纳税款</t>
  </si>
  <si>
    <t>19.9月开票扣税</t>
  </si>
  <si>
    <t>20.1月开票税金</t>
  </si>
  <si>
    <t>2020.6月开票扣税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</si>
  <si>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</si>
  <si>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</si>
  <si>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</si>
  <si>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</si>
  <si>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</si>
  <si>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</si>
  <si>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</si>
  <si>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</si>
  <si>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</si>
  <si>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已收款30523.25元  19.9.9日已打孙会计卡</t>
  </si>
  <si>
    <t>可退30523.25元 （L）  19.9.29</t>
  </si>
  <si>
    <t>10-10已退</t>
  </si>
  <si>
    <t>开票预缴税金</t>
  </si>
  <si>
    <t>20.6月开票预缴税金</t>
  </si>
  <si>
    <t>2020-035#</t>
  </si>
  <si>
    <t>护栏板48吨 ，立柱46吨</t>
  </si>
  <si>
    <t>2020-394#</t>
  </si>
  <si>
    <t>护栏板75吨</t>
  </si>
  <si>
    <t>商城县路安安防门市部</t>
  </si>
  <si>
    <t>标志牌安装</t>
  </si>
  <si>
    <t>2020-477#</t>
  </si>
  <si>
    <t>5次</t>
  </si>
  <si>
    <t>4次</t>
  </si>
  <si>
    <t>前期暂扣企税</t>
  </si>
  <si>
    <t>水利基金和印花税（6月份开票扣税）</t>
  </si>
  <si>
    <t xml:space="preserve"> </t>
  </si>
  <si>
    <t>暂扣企税</t>
  </si>
  <si>
    <t>2020.6月开票暂扣企税</t>
  </si>
  <si>
    <t>19.2月开票预缴税金</t>
  </si>
  <si>
    <t>河南新丰路桥工程有限公司</t>
  </si>
  <si>
    <t>石子800立方、沙1250吨</t>
  </si>
  <si>
    <t>2020-072#</t>
  </si>
  <si>
    <t>信阳彭辉桥梁预制构件有限公司</t>
  </si>
  <si>
    <t>桥梁空心板</t>
  </si>
  <si>
    <t>缺合同 ，货单</t>
  </si>
  <si>
    <t>2020-035#-427万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</si>
</sst>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yy/m/d;@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27" borderId="14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9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4" fontId="5" fillId="0" borderId="0" xfId="0" applyNumberFormat="1" applyFont="1"/>
    <xf numFmtId="176" fontId="1" fillId="0" borderId="2" xfId="0" applyNumberFormat="1" applyFont="1" applyBorder="1" applyAlignment="1">
      <alignment vertical="center"/>
    </xf>
    <xf numFmtId="176" fontId="5" fillId="0" borderId="0" xfId="0" applyNumberFormat="1" applyFont="1"/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left" vertical="center"/>
    </xf>
    <xf numFmtId="177" fontId="2" fillId="0" borderId="2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9" fontId="1" fillId="0" borderId="2" xfId="11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6" fontId="7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7" fillId="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3" borderId="2" xfId="11" applyFont="1" applyFill="1" applyBorder="1" applyAlignment="1">
      <alignment horizontal="center" vertical="center"/>
    </xf>
    <xf numFmtId="9" fontId="2" fillId="3" borderId="2" xfId="11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8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9" fontId="3" fillId="3" borderId="2" xfId="11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vertical="center"/>
    </xf>
    <xf numFmtId="178" fontId="1" fillId="4" borderId="2" xfId="0" applyNumberFormat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6" fontId="6" fillId="5" borderId="2" xfId="0" applyNumberFormat="1" applyFont="1" applyFill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horizontal="left" vertical="center"/>
    </xf>
    <xf numFmtId="178" fontId="1" fillId="0" borderId="5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7" fontId="1" fillId="5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horizontal="right" vertical="center"/>
    </xf>
    <xf numFmtId="178" fontId="1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177" fontId="6" fillId="5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vertical="center" wrapText="1"/>
    </xf>
    <xf numFmtId="178" fontId="1" fillId="0" borderId="5" xfId="0" applyNumberFormat="1" applyFont="1" applyBorder="1" applyAlignment="1">
      <alignment horizontal="right" vertical="center" wrapText="1"/>
    </xf>
    <xf numFmtId="178" fontId="6" fillId="0" borderId="5" xfId="0" applyNumberFormat="1" applyFont="1" applyBorder="1" applyAlignment="1">
      <alignment vertical="center"/>
    </xf>
    <xf numFmtId="177" fontId="6" fillId="6" borderId="2" xfId="0" applyNumberFormat="1" applyFont="1" applyFill="1" applyBorder="1" applyAlignment="1">
      <alignment vertical="center"/>
    </xf>
    <xf numFmtId="9" fontId="2" fillId="0" borderId="2" xfId="11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0" fontId="5" fillId="0" borderId="0" xfId="0" applyFont="1"/>
    <xf numFmtId="177" fontId="1" fillId="0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3" fillId="2" borderId="2" xfId="0" applyNumberFormat="1" applyFont="1" applyFill="1" applyBorder="1" applyAlignment="1">
      <alignment vertical="center"/>
    </xf>
    <xf numFmtId="177" fontId="6" fillId="0" borderId="3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8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9525</xdr:colOff>
      <xdr:row>10</xdr:row>
      <xdr:rowOff>9525</xdr:rowOff>
    </xdr:from>
    <xdr:to>
      <xdr:col>10</xdr:col>
      <xdr:colOff>466725</xdr:colOff>
      <xdr:row>11</xdr:row>
      <xdr:rowOff>30480</xdr:rowOff>
    </xdr:to>
    <xdr:pic>
      <xdr:nvPicPr>
        <xdr:cNvPr id="2" name="图片 1" descr="6(FWI1AZT4_RQL23H[Z~JZ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6250" y="2345690"/>
          <a:ext cx="457200" cy="249555"/>
        </a:xfrm>
        <a:prstGeom prst="rect">
          <a:avLst/>
        </a:prstGeom>
      </xdr:spPr>
    </xdr:pic>
    <xdr:clientData/>
  </xdr:twoCellAnchor>
  <xdr:twoCellAnchor editAs="oneCell">
    <xdr:from>
      <xdr:col>10</xdr:col>
      <xdr:colOff>742315</xdr:colOff>
      <xdr:row>10</xdr:row>
      <xdr:rowOff>37465</xdr:rowOff>
    </xdr:from>
    <xdr:to>
      <xdr:col>10</xdr:col>
      <xdr:colOff>1488440</xdr:colOff>
      <xdr:row>11</xdr:row>
      <xdr:rowOff>25400</xdr:rowOff>
    </xdr:to>
    <xdr:pic>
      <xdr:nvPicPr>
        <xdr:cNvPr id="3" name="图片 2" descr="4227bc7cc8999856bc2119401e792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29040" y="2373630"/>
          <a:ext cx="746125" cy="216535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65</xdr:row>
      <xdr:rowOff>9525</xdr:rowOff>
    </xdr:from>
    <xdr:to>
      <xdr:col>11</xdr:col>
      <xdr:colOff>952500</xdr:colOff>
      <xdr:row>66</xdr:row>
      <xdr:rowOff>116205</xdr:rowOff>
    </xdr:to>
    <xdr:pic>
      <xdr:nvPicPr>
        <xdr:cNvPr id="4" name="图片 3" descr="6(FWI1AZT4_RQL23H[Z~JZ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82325" y="15023465"/>
          <a:ext cx="457200" cy="249555"/>
        </a:xfrm>
        <a:prstGeom prst="rect">
          <a:avLst/>
        </a:prstGeom>
      </xdr:spPr>
    </xdr:pic>
    <xdr:clientData/>
  </xdr:twoCellAnchor>
  <xdr:twoCellAnchor editAs="oneCell">
    <xdr:from>
      <xdr:col>11</xdr:col>
      <xdr:colOff>352425</xdr:colOff>
      <xdr:row>67</xdr:row>
      <xdr:rowOff>104775</xdr:rowOff>
    </xdr:from>
    <xdr:to>
      <xdr:col>12</xdr:col>
      <xdr:colOff>30480</xdr:colOff>
      <xdr:row>73</xdr:row>
      <xdr:rowOff>15875</xdr:rowOff>
    </xdr:to>
    <xdr:pic>
      <xdr:nvPicPr>
        <xdr:cNvPr id="5" name="图片 4" descr="CH7EH%AN@0AE)UO[BE@)({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39450" y="15404465"/>
          <a:ext cx="649605" cy="768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9525</xdr:colOff>
      <xdr:row>10</xdr:row>
      <xdr:rowOff>9525</xdr:rowOff>
    </xdr:from>
    <xdr:to>
      <xdr:col>10</xdr:col>
      <xdr:colOff>466725</xdr:colOff>
      <xdr:row>11</xdr:row>
      <xdr:rowOff>30480</xdr:rowOff>
    </xdr:to>
    <xdr:pic>
      <xdr:nvPicPr>
        <xdr:cNvPr id="2" name="图片 1" descr="6(FWI1AZT4_RQL23H[Z~JZ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86800" y="2345690"/>
          <a:ext cx="457200" cy="249555"/>
        </a:xfrm>
        <a:prstGeom prst="rect">
          <a:avLst/>
        </a:prstGeom>
      </xdr:spPr>
    </xdr:pic>
    <xdr:clientData/>
  </xdr:twoCellAnchor>
  <xdr:twoCellAnchor editAs="oneCell">
    <xdr:from>
      <xdr:col>10</xdr:col>
      <xdr:colOff>742315</xdr:colOff>
      <xdr:row>10</xdr:row>
      <xdr:rowOff>37465</xdr:rowOff>
    </xdr:from>
    <xdr:to>
      <xdr:col>10</xdr:col>
      <xdr:colOff>1063625</xdr:colOff>
      <xdr:row>10</xdr:row>
      <xdr:rowOff>130810</xdr:rowOff>
    </xdr:to>
    <xdr:pic>
      <xdr:nvPicPr>
        <xdr:cNvPr id="3" name="图片 2" descr="4227bc7cc8999856bc2119401e792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19590" y="2373630"/>
          <a:ext cx="321310" cy="9334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73</xdr:row>
      <xdr:rowOff>76200</xdr:rowOff>
    </xdr:from>
    <xdr:to>
      <xdr:col>7</xdr:col>
      <xdr:colOff>309245</xdr:colOff>
      <xdr:row>73</xdr:row>
      <xdr:rowOff>240030</xdr:rowOff>
    </xdr:to>
    <xdr:pic>
      <xdr:nvPicPr>
        <xdr:cNvPr id="4" name="图片 3" descr="6(FWI1AZT4_RQL23H[Z~JZ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2175" y="18541365"/>
          <a:ext cx="166370" cy="163830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73</xdr:row>
      <xdr:rowOff>95250</xdr:rowOff>
    </xdr:from>
    <xdr:to>
      <xdr:col>7</xdr:col>
      <xdr:colOff>614680</xdr:colOff>
      <xdr:row>73</xdr:row>
      <xdr:rowOff>226060</xdr:rowOff>
    </xdr:to>
    <xdr:pic>
      <xdr:nvPicPr>
        <xdr:cNvPr id="5" name="图片 4" descr="CH7EH%AN@0AE)UO[BE@)({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15075" y="18560415"/>
          <a:ext cx="128905" cy="130810"/>
        </a:xfrm>
        <a:prstGeom prst="rect">
          <a:avLst/>
        </a:prstGeom>
      </xdr:spPr>
    </xdr:pic>
    <xdr:clientData/>
  </xdr:twoCellAnchor>
  <xdr:twoCellAnchor>
    <xdr:from>
      <xdr:col>14</xdr:col>
      <xdr:colOff>228600</xdr:colOff>
      <xdr:row>27</xdr:row>
      <xdr:rowOff>76200</xdr:rowOff>
    </xdr:from>
    <xdr:to>
      <xdr:col>14</xdr:col>
      <xdr:colOff>516890</xdr:colOff>
      <xdr:row>27</xdr:row>
      <xdr:rowOff>209550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906500" y="6298565"/>
          <a:ext cx="288290" cy="1333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9525</xdr:colOff>
      <xdr:row>9</xdr:row>
      <xdr:rowOff>9525</xdr:rowOff>
    </xdr:from>
    <xdr:to>
      <xdr:col>10</xdr:col>
      <xdr:colOff>466725</xdr:colOff>
      <xdr:row>10</xdr:row>
      <xdr:rowOff>30480</xdr:rowOff>
    </xdr:to>
    <xdr:pic>
      <xdr:nvPicPr>
        <xdr:cNvPr id="2" name="图片 1" descr="6(FWI1AZT4_RQL23H[Z~JZ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86800" y="2117090"/>
          <a:ext cx="457200" cy="249555"/>
        </a:xfrm>
        <a:prstGeom prst="rect">
          <a:avLst/>
        </a:prstGeom>
      </xdr:spPr>
    </xdr:pic>
    <xdr:clientData/>
  </xdr:twoCellAnchor>
  <xdr:twoCellAnchor editAs="oneCell">
    <xdr:from>
      <xdr:col>10</xdr:col>
      <xdr:colOff>742315</xdr:colOff>
      <xdr:row>9</xdr:row>
      <xdr:rowOff>37465</xdr:rowOff>
    </xdr:from>
    <xdr:to>
      <xdr:col>10</xdr:col>
      <xdr:colOff>1063625</xdr:colOff>
      <xdr:row>9</xdr:row>
      <xdr:rowOff>130810</xdr:rowOff>
    </xdr:to>
    <xdr:pic>
      <xdr:nvPicPr>
        <xdr:cNvPr id="3" name="图片 2" descr="4227bc7cc8999856bc2119401e792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19590" y="2145030"/>
          <a:ext cx="321310" cy="9334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84</xdr:row>
      <xdr:rowOff>76200</xdr:rowOff>
    </xdr:from>
    <xdr:to>
      <xdr:col>7</xdr:col>
      <xdr:colOff>309245</xdr:colOff>
      <xdr:row>84</xdr:row>
      <xdr:rowOff>240030</xdr:rowOff>
    </xdr:to>
    <xdr:pic>
      <xdr:nvPicPr>
        <xdr:cNvPr id="4" name="图片 3" descr="6(FWI1AZT4_RQL23H[Z~JZ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72175" y="21055965"/>
          <a:ext cx="166370" cy="163830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84</xdr:row>
      <xdr:rowOff>95250</xdr:rowOff>
    </xdr:from>
    <xdr:to>
      <xdr:col>7</xdr:col>
      <xdr:colOff>614680</xdr:colOff>
      <xdr:row>84</xdr:row>
      <xdr:rowOff>226060</xdr:rowOff>
    </xdr:to>
    <xdr:pic>
      <xdr:nvPicPr>
        <xdr:cNvPr id="5" name="图片 4" descr="CH7EH%AN@0AE)UO[BE@)({Q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15075" y="21075015"/>
          <a:ext cx="128905" cy="130810"/>
        </a:xfrm>
        <a:prstGeom prst="rect">
          <a:avLst/>
        </a:prstGeom>
      </xdr:spPr>
    </xdr:pic>
    <xdr:clientData/>
  </xdr:twoCellAnchor>
  <xdr:twoCellAnchor>
    <xdr:from>
      <xdr:col>14</xdr:col>
      <xdr:colOff>228600</xdr:colOff>
      <xdr:row>28</xdr:row>
      <xdr:rowOff>76200</xdr:rowOff>
    </xdr:from>
    <xdr:to>
      <xdr:col>14</xdr:col>
      <xdr:colOff>516890</xdr:colOff>
      <xdr:row>28</xdr:row>
      <xdr:rowOff>209550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335125" y="6527165"/>
          <a:ext cx="288290" cy="1333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4"/>
  <sheetViews>
    <sheetView topLeftCell="A15" workbookViewId="0">
      <selection activeCell="K43" sqref="K43"/>
    </sheetView>
  </sheetViews>
  <sheetFormatPr defaultColWidth="9" defaultRowHeight="11.25"/>
  <cols>
    <col min="1" max="1" width="10.75" style="7" customWidth="1"/>
    <col min="2" max="2" width="13.125" style="6" customWidth="1"/>
    <col min="3" max="3" width="6" style="4" customWidth="1"/>
    <col min="4" max="4" width="13.375" style="4" customWidth="1"/>
    <col min="5" max="5" width="6" style="4" customWidth="1"/>
    <col min="6" max="6" width="13.125" style="6" customWidth="1"/>
    <col min="7" max="7" width="14.125" style="6" customWidth="1"/>
    <col min="8" max="8" width="9.625" style="4" customWidth="1"/>
    <col min="9" max="9" width="13.875" style="6" customWidth="1"/>
    <col min="10" max="10" width="6.125" style="5" customWidth="1"/>
    <col min="11" max="11" width="31.5" style="1" customWidth="1"/>
    <col min="12" max="12" width="12.75" style="1" customWidth="1"/>
    <col min="13" max="13" width="6" style="1" customWidth="1"/>
    <col min="14" max="14" width="5.625" style="1" customWidth="1"/>
    <col min="15" max="15" width="9.625" style="1"/>
    <col min="16" max="16384" width="9" style="1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ht="18" customHeight="1" spans="1:12">
      <c r="A2" s="10" t="s">
        <v>1</v>
      </c>
      <c r="B2" s="11">
        <v>43096</v>
      </c>
      <c r="C2" s="12" t="s">
        <v>2</v>
      </c>
      <c r="D2" s="90">
        <v>6752106</v>
      </c>
      <c r="E2" s="14" t="s">
        <v>3</v>
      </c>
      <c r="F2" s="12" t="s">
        <v>4</v>
      </c>
      <c r="G2" s="15" t="s">
        <v>5</v>
      </c>
      <c r="H2" s="16" t="s">
        <v>6</v>
      </c>
      <c r="I2" s="54"/>
      <c r="J2" s="55"/>
      <c r="K2" s="18"/>
      <c r="L2" s="18"/>
    </row>
    <row r="3" ht="18" customHeight="1" spans="1:12">
      <c r="A3" s="10" t="s">
        <v>7</v>
      </c>
      <c r="B3" s="17"/>
      <c r="C3" s="12" t="s">
        <v>8</v>
      </c>
      <c r="D3" s="12"/>
      <c r="H3" s="18"/>
      <c r="I3" s="56"/>
      <c r="J3" s="18"/>
      <c r="K3" s="18"/>
      <c r="L3" s="18"/>
    </row>
    <row r="4" ht="18" customHeight="1" spans="1:12">
      <c r="A4" s="7" t="s">
        <v>9</v>
      </c>
      <c r="H4" s="18"/>
      <c r="I4" s="56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2:10">
      <c r="B7" s="74">
        <f>G7/(1+C7+E7)</f>
        <v>0</v>
      </c>
      <c r="C7" s="23">
        <v>0.02</v>
      </c>
      <c r="D7" s="91">
        <f t="shared" ref="D7:D11" si="0">G7/(1+E7+C7)*C7</f>
        <v>0</v>
      </c>
      <c r="E7" s="23">
        <v>0.08</v>
      </c>
      <c r="F7" s="74">
        <f t="shared" ref="F7:F11" si="1">G7/(1+C7+E7)*E7</f>
        <v>0</v>
      </c>
      <c r="G7" s="92"/>
      <c r="H7" s="22"/>
      <c r="I7" s="74"/>
      <c r="J7" s="57"/>
    </row>
    <row r="8" ht="18" customHeight="1" spans="1:10">
      <c r="A8" s="22">
        <v>43497</v>
      </c>
      <c r="B8" s="74">
        <f>G8/(1+C8+E8)</f>
        <v>727272.727272727</v>
      </c>
      <c r="C8" s="23">
        <v>0.02</v>
      </c>
      <c r="D8" s="91">
        <f t="shared" si="0"/>
        <v>14545.4545454545</v>
      </c>
      <c r="E8" s="23">
        <v>0.08</v>
      </c>
      <c r="F8" s="74">
        <f t="shared" si="1"/>
        <v>58181.8181818182</v>
      </c>
      <c r="G8" s="92">
        <v>800000</v>
      </c>
      <c r="H8" s="22">
        <v>43507</v>
      </c>
      <c r="I8" s="74">
        <v>800000</v>
      </c>
      <c r="J8" s="57" t="s">
        <v>21</v>
      </c>
    </row>
    <row r="9" ht="18" customHeight="1" spans="1:10">
      <c r="A9" s="22">
        <v>43717</v>
      </c>
      <c r="B9" s="74">
        <f t="shared" ref="B9:B11" si="2">G9/(1+C9+E9)</f>
        <v>550458.71559633</v>
      </c>
      <c r="C9" s="26">
        <v>0.02</v>
      </c>
      <c r="D9" s="91">
        <f t="shared" si="0"/>
        <v>11009.1743119266</v>
      </c>
      <c r="E9" s="26">
        <v>0.07</v>
      </c>
      <c r="F9" s="74">
        <f t="shared" si="1"/>
        <v>38532.1100917431</v>
      </c>
      <c r="G9" s="92">
        <v>600000</v>
      </c>
      <c r="H9" s="22">
        <v>43732</v>
      </c>
      <c r="I9" s="74">
        <v>600000</v>
      </c>
      <c r="J9" s="57" t="s">
        <v>21</v>
      </c>
    </row>
    <row r="10" ht="18" customHeight="1" spans="1:10">
      <c r="A10" s="22">
        <v>43845</v>
      </c>
      <c r="B10" s="74">
        <f t="shared" si="2"/>
        <v>2706422.01834862</v>
      </c>
      <c r="C10" s="26">
        <v>0.02</v>
      </c>
      <c r="D10" s="91">
        <f t="shared" si="0"/>
        <v>54128.4403669725</v>
      </c>
      <c r="E10" s="26">
        <v>0.07</v>
      </c>
      <c r="F10" s="74">
        <f t="shared" si="1"/>
        <v>189449.541284404</v>
      </c>
      <c r="G10" s="92">
        <v>2950000</v>
      </c>
      <c r="H10" s="22">
        <v>43850</v>
      </c>
      <c r="I10" s="74">
        <v>2950000</v>
      </c>
      <c r="J10" s="57" t="s">
        <v>21</v>
      </c>
    </row>
    <row r="11" ht="18" customHeight="1" spans="1:10">
      <c r="A11" s="22"/>
      <c r="B11" s="74"/>
      <c r="C11" s="26"/>
      <c r="D11" s="91"/>
      <c r="E11" s="26"/>
      <c r="F11" s="74"/>
      <c r="G11" s="92"/>
      <c r="H11" s="22"/>
      <c r="I11" s="74"/>
      <c r="J11" s="57" t="s">
        <v>21</v>
      </c>
    </row>
    <row r="12" ht="18" customHeight="1" spans="1:10">
      <c r="A12" s="27" t="s">
        <v>22</v>
      </c>
      <c r="B12" s="89">
        <f t="shared" ref="B12:G12" si="3">SUM(B7:B11)</f>
        <v>3984153.46121768</v>
      </c>
      <c r="C12" s="29"/>
      <c r="D12" s="89">
        <f t="shared" si="3"/>
        <v>79683.0692243536</v>
      </c>
      <c r="E12" s="29"/>
      <c r="F12" s="89">
        <f t="shared" si="3"/>
        <v>286163.469557965</v>
      </c>
      <c r="G12" s="92">
        <f t="shared" si="3"/>
        <v>4350000</v>
      </c>
      <c r="H12" s="58"/>
      <c r="I12" s="74">
        <f>SUM(I8:I11)</f>
        <v>4350000</v>
      </c>
      <c r="J12" s="58"/>
    </row>
    <row r="13" ht="18" customHeight="1" spans="1:12">
      <c r="A13" s="7" t="s">
        <v>23</v>
      </c>
      <c r="J13" s="4"/>
      <c r="K13" s="4"/>
      <c r="L13" s="5"/>
    </row>
    <row r="14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59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2" customFormat="1" ht="18" customHeight="1" spans="1:15">
      <c r="A15" s="33"/>
      <c r="B15" s="17">
        <f t="shared" ref="B15:B34" si="4">ROUND(G15/(1+E15),2)</f>
        <v>0</v>
      </c>
      <c r="C15" s="35"/>
      <c r="D15" s="36"/>
      <c r="E15" s="37"/>
      <c r="F15" s="17">
        <f t="shared" ref="F15:F30" si="5">ROUND(G15/(1+E15)*E15,2)</f>
        <v>0</v>
      </c>
      <c r="G15" s="92"/>
      <c r="H15" s="22" t="s">
        <v>36</v>
      </c>
      <c r="I15" s="74">
        <v>-496600</v>
      </c>
      <c r="J15" s="57" t="s">
        <v>37</v>
      </c>
      <c r="K15" s="60" t="s">
        <v>38</v>
      </c>
      <c r="L15" s="61"/>
      <c r="M15" s="62"/>
      <c r="N15" s="62"/>
      <c r="O15" s="61"/>
    </row>
    <row r="16" s="2" customFormat="1" ht="18" customHeight="1" spans="1:15">
      <c r="A16" s="33"/>
      <c r="B16" s="17">
        <f t="shared" si="4"/>
        <v>0</v>
      </c>
      <c r="C16" s="35"/>
      <c r="D16" s="36"/>
      <c r="E16" s="37"/>
      <c r="F16" s="17">
        <f t="shared" si="5"/>
        <v>0</v>
      </c>
      <c r="G16" s="92"/>
      <c r="H16" s="22" t="s">
        <v>36</v>
      </c>
      <c r="I16" s="74">
        <v>496600</v>
      </c>
      <c r="J16" s="57" t="s">
        <v>21</v>
      </c>
      <c r="K16" s="60" t="s">
        <v>39</v>
      </c>
      <c r="L16" s="61" t="s">
        <v>40</v>
      </c>
      <c r="M16" s="62"/>
      <c r="N16" s="62"/>
      <c r="O16" s="61"/>
    </row>
    <row r="17" s="2" customFormat="1" ht="18" customHeight="1" spans="1:15">
      <c r="A17" s="33"/>
      <c r="B17" s="17">
        <f t="shared" si="4"/>
        <v>0</v>
      </c>
      <c r="C17" s="35"/>
      <c r="D17" s="36"/>
      <c r="E17" s="37"/>
      <c r="F17" s="17">
        <f t="shared" si="5"/>
        <v>0</v>
      </c>
      <c r="G17" s="92"/>
      <c r="H17" s="22" t="s">
        <v>36</v>
      </c>
      <c r="I17" s="74">
        <v>-500000</v>
      </c>
      <c r="J17" s="57" t="s">
        <v>37</v>
      </c>
      <c r="K17" s="60" t="s">
        <v>38</v>
      </c>
      <c r="L17" s="61"/>
      <c r="M17" s="62"/>
      <c r="N17" s="62"/>
      <c r="O17" s="61"/>
    </row>
    <row r="18" s="2" customFormat="1" ht="18" customHeight="1" spans="1:15">
      <c r="A18" s="33">
        <v>43497</v>
      </c>
      <c r="B18" s="17">
        <f t="shared" si="4"/>
        <v>431034.48</v>
      </c>
      <c r="C18" s="35"/>
      <c r="D18" s="36" t="s">
        <v>41</v>
      </c>
      <c r="E18" s="37">
        <v>0.16</v>
      </c>
      <c r="F18" s="17">
        <f t="shared" si="5"/>
        <v>68965.52</v>
      </c>
      <c r="G18" s="92">
        <v>500000</v>
      </c>
      <c r="H18" s="22" t="s">
        <v>36</v>
      </c>
      <c r="I18" s="74">
        <v>500000</v>
      </c>
      <c r="J18" s="57" t="s">
        <v>21</v>
      </c>
      <c r="K18" s="60" t="s">
        <v>39</v>
      </c>
      <c r="L18" s="61" t="s">
        <v>40</v>
      </c>
      <c r="M18" s="62"/>
      <c r="N18" s="62"/>
      <c r="O18" s="61"/>
    </row>
    <row r="19" s="2" customFormat="1" ht="18" customHeight="1" spans="1:15">
      <c r="A19" s="33"/>
      <c r="B19" s="17">
        <f t="shared" si="4"/>
        <v>0</v>
      </c>
      <c r="C19" s="35"/>
      <c r="D19" s="36"/>
      <c r="E19" s="37"/>
      <c r="F19" s="17">
        <f t="shared" si="5"/>
        <v>0</v>
      </c>
      <c r="G19" s="92"/>
      <c r="H19" s="22">
        <v>43529</v>
      </c>
      <c r="I19" s="74">
        <v>500000</v>
      </c>
      <c r="J19" s="57" t="s">
        <v>37</v>
      </c>
      <c r="K19" s="60" t="s">
        <v>38</v>
      </c>
      <c r="L19" s="61"/>
      <c r="M19" s="62"/>
      <c r="N19" s="62"/>
      <c r="O19" s="61"/>
    </row>
    <row r="20" s="2" customFormat="1" ht="18" customHeight="1" spans="1:15">
      <c r="A20" s="33">
        <v>43525</v>
      </c>
      <c r="B20" s="17">
        <f t="shared" si="4"/>
        <v>165000</v>
      </c>
      <c r="C20" s="35"/>
      <c r="D20" s="36" t="s">
        <v>42</v>
      </c>
      <c r="E20" s="37"/>
      <c r="F20" s="17">
        <f t="shared" si="5"/>
        <v>0</v>
      </c>
      <c r="G20" s="92">
        <v>165000</v>
      </c>
      <c r="H20" s="22">
        <v>43543</v>
      </c>
      <c r="I20" s="74">
        <v>165000</v>
      </c>
      <c r="J20" s="57" t="s">
        <v>37</v>
      </c>
      <c r="K20" s="60" t="s">
        <v>43</v>
      </c>
      <c r="L20" s="61" t="s">
        <v>44</v>
      </c>
      <c r="M20" s="62"/>
      <c r="N20" s="62"/>
      <c r="O20" s="61"/>
    </row>
    <row r="21" s="2" customFormat="1" ht="18" customHeight="1" spans="1:15">
      <c r="A21" s="33">
        <v>43525</v>
      </c>
      <c r="B21" s="17">
        <f t="shared" si="4"/>
        <v>127000</v>
      </c>
      <c r="C21" s="35"/>
      <c r="D21" s="36" t="s">
        <v>42</v>
      </c>
      <c r="E21" s="37"/>
      <c r="F21" s="17">
        <f t="shared" si="5"/>
        <v>0</v>
      </c>
      <c r="G21" s="92">
        <v>127000</v>
      </c>
      <c r="H21" s="22">
        <v>43543</v>
      </c>
      <c r="I21" s="74">
        <v>109823</v>
      </c>
      <c r="J21" s="57" t="s">
        <v>37</v>
      </c>
      <c r="K21" s="60" t="s">
        <v>45</v>
      </c>
      <c r="L21" s="61" t="s">
        <v>46</v>
      </c>
      <c r="M21" s="62"/>
      <c r="N21" s="62"/>
      <c r="O21" s="61"/>
    </row>
    <row r="22" s="2" customFormat="1" ht="18" customHeight="1" spans="1:15">
      <c r="A22" s="33">
        <v>43709</v>
      </c>
      <c r="B22" s="17">
        <f t="shared" si="4"/>
        <v>439469.03</v>
      </c>
      <c r="C22" s="35"/>
      <c r="D22" s="36" t="s">
        <v>41</v>
      </c>
      <c r="E22" s="38">
        <v>0.13</v>
      </c>
      <c r="F22" s="17">
        <f t="shared" si="5"/>
        <v>57130.97</v>
      </c>
      <c r="G22" s="92">
        <v>496600</v>
      </c>
      <c r="H22" s="22">
        <v>43748</v>
      </c>
      <c r="I22" s="74">
        <v>500000</v>
      </c>
      <c r="J22" s="57" t="s">
        <v>21</v>
      </c>
      <c r="K22" s="60" t="s">
        <v>39</v>
      </c>
      <c r="L22" s="61" t="s">
        <v>47</v>
      </c>
      <c r="M22" s="62"/>
      <c r="N22" s="62"/>
      <c r="O22" s="61"/>
    </row>
    <row r="23" s="2" customFormat="1" ht="18" customHeight="1" spans="1:15">
      <c r="A23" s="33"/>
      <c r="B23" s="17">
        <f t="shared" si="4"/>
        <v>0</v>
      </c>
      <c r="C23" s="35"/>
      <c r="D23" s="36"/>
      <c r="E23" s="38"/>
      <c r="F23" s="17">
        <f t="shared" si="5"/>
        <v>0</v>
      </c>
      <c r="G23" s="92"/>
      <c r="H23" s="22">
        <v>43752</v>
      </c>
      <c r="I23" s="74">
        <v>-500000</v>
      </c>
      <c r="J23" s="57" t="s">
        <v>37</v>
      </c>
      <c r="K23" s="60" t="s">
        <v>38</v>
      </c>
      <c r="L23" s="61"/>
      <c r="M23" s="62"/>
      <c r="N23" s="62"/>
      <c r="O23" s="61"/>
    </row>
    <row r="24" s="2" customFormat="1" ht="18" customHeight="1" spans="1:15">
      <c r="A24" s="33"/>
      <c r="B24" s="17">
        <f t="shared" si="4"/>
        <v>0</v>
      </c>
      <c r="C24" s="35"/>
      <c r="D24" s="36"/>
      <c r="E24" s="38"/>
      <c r="F24" s="17">
        <f t="shared" si="5"/>
        <v>0</v>
      </c>
      <c r="G24" s="92"/>
      <c r="H24" s="22">
        <v>43753</v>
      </c>
      <c r="I24" s="74">
        <v>500000</v>
      </c>
      <c r="J24" s="57" t="s">
        <v>21</v>
      </c>
      <c r="K24" s="60" t="s">
        <v>39</v>
      </c>
      <c r="L24" s="61" t="s">
        <v>40</v>
      </c>
      <c r="M24" s="62"/>
      <c r="N24" s="62"/>
      <c r="O24" s="61"/>
    </row>
    <row r="25" s="2" customFormat="1" ht="18" customHeight="1" spans="1:15">
      <c r="A25" s="33">
        <v>43831</v>
      </c>
      <c r="B25" s="17">
        <f t="shared" si="4"/>
        <v>390000</v>
      </c>
      <c r="C25" s="35"/>
      <c r="D25" s="36" t="s">
        <v>48</v>
      </c>
      <c r="E25" s="38"/>
      <c r="F25" s="17">
        <f t="shared" si="5"/>
        <v>0</v>
      </c>
      <c r="G25" s="92">
        <f>97500+97500+97500+97500</f>
        <v>390000</v>
      </c>
      <c r="H25" s="22">
        <v>43852</v>
      </c>
      <c r="I25" s="74">
        <v>392000</v>
      </c>
      <c r="J25" s="57" t="s">
        <v>21</v>
      </c>
      <c r="K25" s="60" t="s">
        <v>49</v>
      </c>
      <c r="L25" s="61" t="s">
        <v>50</v>
      </c>
      <c r="M25" s="62"/>
      <c r="N25" s="62"/>
      <c r="O25" s="61"/>
    </row>
    <row r="26" s="3" customFormat="1" ht="18" customHeight="1" spans="1:15">
      <c r="A26" s="40">
        <v>43831</v>
      </c>
      <c r="B26" s="95">
        <f t="shared" si="4"/>
        <v>1415929.2</v>
      </c>
      <c r="C26" s="42"/>
      <c r="D26" s="43" t="s">
        <v>41</v>
      </c>
      <c r="E26" s="44">
        <v>0.13</v>
      </c>
      <c r="F26" s="95">
        <f t="shared" si="5"/>
        <v>184070.8</v>
      </c>
      <c r="G26" s="93">
        <f>110000*6+53600+110800*8</f>
        <v>1600000</v>
      </c>
      <c r="H26" s="96">
        <v>43852</v>
      </c>
      <c r="I26" s="95">
        <v>1600000</v>
      </c>
      <c r="J26" s="63" t="s">
        <v>21</v>
      </c>
      <c r="K26" s="97" t="s">
        <v>39</v>
      </c>
      <c r="L26" s="64" t="s">
        <v>51</v>
      </c>
      <c r="M26" s="63"/>
      <c r="N26" s="63"/>
      <c r="O26" s="64" t="s">
        <v>52</v>
      </c>
    </row>
    <row r="27" s="2" customFormat="1" ht="18" customHeight="1" spans="1:15">
      <c r="A27" s="33">
        <v>43831</v>
      </c>
      <c r="B27" s="17">
        <f t="shared" si="4"/>
        <v>679611.65</v>
      </c>
      <c r="C27" s="35"/>
      <c r="D27" s="36" t="s">
        <v>41</v>
      </c>
      <c r="E27" s="38">
        <v>0.03</v>
      </c>
      <c r="F27" s="17">
        <f t="shared" si="5"/>
        <v>20388.35</v>
      </c>
      <c r="G27" s="92">
        <v>700000</v>
      </c>
      <c r="H27" s="22">
        <v>43852</v>
      </c>
      <c r="I27" s="74">
        <v>700000</v>
      </c>
      <c r="J27" s="57" t="s">
        <v>21</v>
      </c>
      <c r="K27" s="60" t="s">
        <v>49</v>
      </c>
      <c r="L27" s="61" t="s">
        <v>44</v>
      </c>
      <c r="M27" s="62"/>
      <c r="N27" s="62"/>
      <c r="O27" s="61"/>
    </row>
    <row r="28" s="2" customFormat="1" ht="18" customHeight="1" spans="1:15">
      <c r="A28" s="33"/>
      <c r="B28" s="17">
        <f t="shared" si="4"/>
        <v>0</v>
      </c>
      <c r="C28" s="35"/>
      <c r="D28" s="36"/>
      <c r="E28" s="38"/>
      <c r="F28" s="17">
        <f t="shared" si="5"/>
        <v>0</v>
      </c>
      <c r="G28" s="92"/>
      <c r="H28" s="22"/>
      <c r="I28" s="74"/>
      <c r="J28" s="57"/>
      <c r="K28" s="60"/>
      <c r="L28" s="61"/>
      <c r="M28" s="62"/>
      <c r="N28" s="62"/>
      <c r="O28" s="61"/>
    </row>
    <row r="29" s="2" customFormat="1" ht="18" customHeight="1" spans="1:15">
      <c r="A29" s="33"/>
      <c r="B29" s="17">
        <f t="shared" si="4"/>
        <v>0</v>
      </c>
      <c r="C29" s="35"/>
      <c r="D29" s="36"/>
      <c r="E29" s="38"/>
      <c r="F29" s="17">
        <f t="shared" si="5"/>
        <v>0</v>
      </c>
      <c r="G29" s="92"/>
      <c r="H29" s="22"/>
      <c r="I29" s="74"/>
      <c r="J29" s="57"/>
      <c r="K29" s="60"/>
      <c r="L29" s="61"/>
      <c r="M29" s="62"/>
      <c r="N29" s="62"/>
      <c r="O29" s="61"/>
    </row>
    <row r="30" s="2" customFormat="1" ht="18" customHeight="1" spans="1:15">
      <c r="A30" s="33"/>
      <c r="B30" s="17">
        <f t="shared" si="4"/>
        <v>0</v>
      </c>
      <c r="C30" s="35"/>
      <c r="D30" s="36"/>
      <c r="E30" s="38"/>
      <c r="F30" s="17">
        <f t="shared" si="5"/>
        <v>0</v>
      </c>
      <c r="G30" s="92"/>
      <c r="H30" s="22" t="s">
        <v>53</v>
      </c>
      <c r="I30" s="74">
        <v>41000</v>
      </c>
      <c r="J30" s="57" t="s">
        <v>54</v>
      </c>
      <c r="K30" s="60" t="s">
        <v>55</v>
      </c>
      <c r="L30" s="61"/>
      <c r="M30" s="62"/>
      <c r="N30" s="62"/>
      <c r="O30" s="61"/>
    </row>
    <row r="31" s="2" customFormat="1" ht="18" customHeight="1" spans="1:15">
      <c r="A31" s="33"/>
      <c r="B31" s="17">
        <f t="shared" ref="B30:B36" si="6">ROUND(G31/(1+E31),2)</f>
        <v>0</v>
      </c>
      <c r="C31" s="35"/>
      <c r="D31" s="36"/>
      <c r="E31" s="38"/>
      <c r="F31" s="17">
        <f t="shared" ref="F30:F39" si="7">ROUND(G31/(1+E31)*E31,2)</f>
        <v>0</v>
      </c>
      <c r="G31" s="92"/>
      <c r="H31" s="22" t="s">
        <v>53</v>
      </c>
      <c r="I31" s="74">
        <v>2510</v>
      </c>
      <c r="J31" s="57" t="s">
        <v>56</v>
      </c>
      <c r="K31" s="60" t="s">
        <v>57</v>
      </c>
      <c r="L31" s="61"/>
      <c r="M31" s="62"/>
      <c r="N31" s="62"/>
      <c r="O31" s="61"/>
    </row>
    <row r="32" s="2" customFormat="1" ht="18" customHeight="1" spans="1:15">
      <c r="A32" s="33"/>
      <c r="B32" s="17">
        <f t="shared" si="6"/>
        <v>0</v>
      </c>
      <c r="C32" s="35"/>
      <c r="D32" s="36"/>
      <c r="E32" s="38"/>
      <c r="F32" s="17">
        <f t="shared" si="7"/>
        <v>0</v>
      </c>
      <c r="G32" s="92"/>
      <c r="H32" s="22" t="s">
        <v>53</v>
      </c>
      <c r="I32" s="74">
        <v>400</v>
      </c>
      <c r="J32" s="57" t="s">
        <v>56</v>
      </c>
      <c r="K32" s="60" t="s">
        <v>58</v>
      </c>
      <c r="L32" s="61"/>
      <c r="M32" s="62"/>
      <c r="N32" s="62"/>
      <c r="O32" s="61"/>
    </row>
    <row r="33" s="2" customFormat="1" ht="18" customHeight="1" spans="1:15">
      <c r="A33" s="33"/>
      <c r="B33" s="17">
        <f t="shared" si="6"/>
        <v>59000</v>
      </c>
      <c r="C33" s="35"/>
      <c r="D33" s="36"/>
      <c r="E33" s="38"/>
      <c r="F33" s="17">
        <f t="shared" si="7"/>
        <v>0</v>
      </c>
      <c r="G33" s="92">
        <f>59000</f>
        <v>59000</v>
      </c>
      <c r="H33" s="22" t="s">
        <v>53</v>
      </c>
      <c r="I33" s="74">
        <f>G33</f>
        <v>59000</v>
      </c>
      <c r="J33" s="57" t="s">
        <v>56</v>
      </c>
      <c r="K33" s="60" t="s">
        <v>59</v>
      </c>
      <c r="L33" s="61"/>
      <c r="M33" s="62"/>
      <c r="N33" s="62"/>
      <c r="O33" s="61"/>
    </row>
    <row r="34" s="2" customFormat="1" ht="18" customHeight="1" spans="1:15">
      <c r="A34" s="33"/>
      <c r="B34" s="17">
        <f t="shared" si="6"/>
        <v>0</v>
      </c>
      <c r="C34" s="35"/>
      <c r="D34" s="36"/>
      <c r="E34" s="38"/>
      <c r="F34" s="17">
        <f t="shared" si="7"/>
        <v>0</v>
      </c>
      <c r="G34" s="92"/>
      <c r="H34" s="22" t="s">
        <v>60</v>
      </c>
      <c r="I34" s="74">
        <v>511</v>
      </c>
      <c r="J34" s="57" t="s">
        <v>56</v>
      </c>
      <c r="K34" s="60" t="s">
        <v>57</v>
      </c>
      <c r="L34" s="61"/>
      <c r="M34" s="62"/>
      <c r="N34" s="62"/>
      <c r="O34" s="61"/>
    </row>
    <row r="35" s="2" customFormat="1" ht="18" customHeight="1" spans="1:15">
      <c r="A35" s="33"/>
      <c r="B35" s="17">
        <f t="shared" si="6"/>
        <v>0</v>
      </c>
      <c r="C35" s="35"/>
      <c r="D35" s="36"/>
      <c r="E35" s="37"/>
      <c r="F35" s="17">
        <f t="shared" si="7"/>
        <v>0</v>
      </c>
      <c r="G35" s="92"/>
      <c r="H35" s="22" t="s">
        <v>60</v>
      </c>
      <c r="I35" s="74">
        <v>21807</v>
      </c>
      <c r="J35" s="57" t="s">
        <v>54</v>
      </c>
      <c r="K35" s="60" t="s">
        <v>55</v>
      </c>
      <c r="L35" s="61"/>
      <c r="M35" s="62"/>
      <c r="N35" s="62"/>
      <c r="O35" s="61"/>
    </row>
    <row r="36" s="2" customFormat="1" ht="18" customHeight="1" spans="1:15">
      <c r="A36" s="33"/>
      <c r="B36" s="17">
        <f t="shared" si="6"/>
        <v>12000</v>
      </c>
      <c r="C36" s="35"/>
      <c r="D36" s="36"/>
      <c r="E36" s="37"/>
      <c r="F36" s="17">
        <f t="shared" si="7"/>
        <v>0</v>
      </c>
      <c r="G36" s="92">
        <v>12000</v>
      </c>
      <c r="H36" s="22" t="s">
        <v>60</v>
      </c>
      <c r="I36" s="74">
        <f>G36</f>
        <v>12000</v>
      </c>
      <c r="J36" s="57" t="s">
        <v>56</v>
      </c>
      <c r="K36" s="60" t="s">
        <v>59</v>
      </c>
      <c r="L36" s="61"/>
      <c r="M36" s="62"/>
      <c r="N36" s="62"/>
      <c r="O36" s="61"/>
    </row>
    <row r="37" s="2" customFormat="1" ht="18" customHeight="1" spans="1:15">
      <c r="A37" s="33"/>
      <c r="B37" s="17">
        <f t="shared" ref="B35:B42" si="8">ROUND(G37/(1+E37),2)</f>
        <v>0</v>
      </c>
      <c r="C37" s="35"/>
      <c r="D37" s="36"/>
      <c r="E37" s="37"/>
      <c r="F37" s="17">
        <f t="shared" si="7"/>
        <v>0</v>
      </c>
      <c r="G37" s="92"/>
      <c r="H37" s="22" t="s">
        <v>61</v>
      </c>
      <c r="I37" s="74">
        <v>-70060</v>
      </c>
      <c r="J37" s="57" t="s">
        <v>62</v>
      </c>
      <c r="K37" s="60" t="s">
        <v>63</v>
      </c>
      <c r="L37" s="61"/>
      <c r="M37" s="62"/>
      <c r="N37" s="62"/>
      <c r="O37" s="61"/>
    </row>
    <row r="38" s="2" customFormat="1" ht="18" customHeight="1" spans="1:15">
      <c r="A38" s="33"/>
      <c r="B38" s="17">
        <f t="shared" si="8"/>
        <v>0</v>
      </c>
      <c r="C38" s="35"/>
      <c r="D38" s="36"/>
      <c r="E38" s="37"/>
      <c r="F38" s="17">
        <f t="shared" si="7"/>
        <v>0</v>
      </c>
      <c r="G38" s="92"/>
      <c r="H38" s="22" t="s">
        <v>61</v>
      </c>
      <c r="I38" s="74">
        <v>70060</v>
      </c>
      <c r="J38" s="57" t="s">
        <v>54</v>
      </c>
      <c r="K38" s="60" t="s">
        <v>55</v>
      </c>
      <c r="L38" s="61"/>
      <c r="M38" s="62"/>
      <c r="N38" s="62"/>
      <c r="O38" s="61"/>
    </row>
    <row r="39" s="2" customFormat="1" ht="18" customHeight="1" spans="1:15">
      <c r="A39" s="33"/>
      <c r="B39" s="17">
        <f t="shared" si="8"/>
        <v>0</v>
      </c>
      <c r="C39" s="35"/>
      <c r="D39" s="36"/>
      <c r="E39" s="37"/>
      <c r="F39" s="17">
        <f t="shared" si="7"/>
        <v>0</v>
      </c>
      <c r="G39" s="92"/>
      <c r="H39" s="22" t="s">
        <v>61</v>
      </c>
      <c r="I39" s="74">
        <v>677</v>
      </c>
      <c r="J39" s="57" t="s">
        <v>56</v>
      </c>
      <c r="K39" s="60" t="s">
        <v>57</v>
      </c>
      <c r="L39" s="61"/>
      <c r="M39" s="62"/>
      <c r="N39" s="62"/>
      <c r="O39" s="61"/>
    </row>
    <row r="40" s="2" customFormat="1" ht="18" customHeight="1" spans="1:15">
      <c r="A40" s="33"/>
      <c r="B40" s="17">
        <f t="shared" si="8"/>
        <v>0</v>
      </c>
      <c r="C40" s="35"/>
      <c r="D40" s="36"/>
      <c r="E40" s="37"/>
      <c r="F40" s="17">
        <f t="shared" ref="F35:F42" si="9">ROUND(G40/(1+E40)*E40,2)</f>
        <v>0</v>
      </c>
      <c r="G40" s="92"/>
      <c r="H40" s="22" t="s">
        <v>61</v>
      </c>
      <c r="I40" s="74">
        <v>8000</v>
      </c>
      <c r="J40" s="57" t="s">
        <v>64</v>
      </c>
      <c r="K40" s="60" t="s">
        <v>65</v>
      </c>
      <c r="L40" s="61"/>
      <c r="M40" s="62"/>
      <c r="N40" s="62"/>
      <c r="O40" s="61"/>
    </row>
    <row r="41" s="2" customFormat="1" ht="18" customHeight="1" spans="1:15">
      <c r="A41" s="33"/>
      <c r="B41" s="17">
        <f t="shared" si="8"/>
        <v>0</v>
      </c>
      <c r="C41" s="35"/>
      <c r="D41" s="36"/>
      <c r="E41" s="37"/>
      <c r="F41" s="17">
        <f t="shared" si="9"/>
        <v>0</v>
      </c>
      <c r="G41" s="92"/>
      <c r="H41" s="22" t="s">
        <v>61</v>
      </c>
      <c r="I41" s="74">
        <v>500</v>
      </c>
      <c r="J41" s="57" t="s">
        <v>56</v>
      </c>
      <c r="K41" s="60" t="s">
        <v>66</v>
      </c>
      <c r="L41" s="61"/>
      <c r="M41" s="62"/>
      <c r="N41" s="62"/>
      <c r="O41" s="61"/>
    </row>
    <row r="42" s="2" customFormat="1" ht="18" customHeight="1" spans="1:15">
      <c r="A42" s="33"/>
      <c r="B42" s="17">
        <f t="shared" si="8"/>
        <v>16000</v>
      </c>
      <c r="C42" s="35"/>
      <c r="D42" s="36"/>
      <c r="E42" s="37"/>
      <c r="F42" s="17">
        <f t="shared" si="9"/>
        <v>0</v>
      </c>
      <c r="G42" s="92">
        <f>16000</f>
        <v>16000</v>
      </c>
      <c r="H42" s="22" t="s">
        <v>61</v>
      </c>
      <c r="I42" s="74">
        <f>G42</f>
        <v>16000</v>
      </c>
      <c r="J42" s="57" t="s">
        <v>56</v>
      </c>
      <c r="K42" s="60" t="s">
        <v>59</v>
      </c>
      <c r="L42" s="61"/>
      <c r="M42" s="62"/>
      <c r="N42" s="62"/>
      <c r="O42" s="61"/>
    </row>
    <row r="43" ht="18" customHeight="1" spans="1:15">
      <c r="A43" s="29" t="s">
        <v>22</v>
      </c>
      <c r="B43" s="75">
        <f t="shared" ref="B43:G43" si="10">SUM(B15:B42)</f>
        <v>3735044.36</v>
      </c>
      <c r="C43" s="29"/>
      <c r="D43" s="48"/>
      <c r="E43" s="48"/>
      <c r="F43" s="76">
        <f t="shared" si="10"/>
        <v>330555.64</v>
      </c>
      <c r="G43" s="94">
        <f t="shared" si="10"/>
        <v>4065600</v>
      </c>
      <c r="H43" s="31"/>
      <c r="I43" s="78">
        <f>SUM(I15:I42)</f>
        <v>4129228</v>
      </c>
      <c r="J43" s="68"/>
      <c r="K43" s="48"/>
      <c r="L43" s="58"/>
      <c r="M43" s="57"/>
      <c r="N43" s="57"/>
      <c r="O43" s="58"/>
    </row>
    <row r="44" ht="18" customHeight="1" spans="1:14">
      <c r="A44" s="51" t="s">
        <v>67</v>
      </c>
      <c r="B44" s="53">
        <f>B12-B43</f>
        <v>249109.101217681</v>
      </c>
      <c r="C44" s="51"/>
      <c r="D44" s="52"/>
      <c r="E44" s="52"/>
      <c r="F44" s="53"/>
      <c r="G44" s="53">
        <f>G12-G43</f>
        <v>284400</v>
      </c>
      <c r="H44" s="21" t="s">
        <v>68</v>
      </c>
      <c r="I44" s="78">
        <f>I12-I43</f>
        <v>220772</v>
      </c>
      <c r="J44" s="1"/>
      <c r="K44" s="69"/>
      <c r="M44" s="70"/>
      <c r="N44" s="70"/>
    </row>
    <row r="45" ht="18" customHeight="1" spans="1:3">
      <c r="A45" s="7" t="s">
        <v>69</v>
      </c>
      <c r="C45" s="7"/>
    </row>
    <row r="46" ht="18" customHeight="1" spans="1:12">
      <c r="A46" s="21" t="s">
        <v>70</v>
      </c>
      <c r="B46" s="20" t="s">
        <v>71</v>
      </c>
      <c r="C46" s="58"/>
      <c r="D46" s="21" t="s">
        <v>70</v>
      </c>
      <c r="E46" s="19" t="s">
        <v>16</v>
      </c>
      <c r="F46" s="20" t="s">
        <v>71</v>
      </c>
      <c r="G46" s="20" t="s">
        <v>72</v>
      </c>
      <c r="H46" s="4" t="s">
        <v>73</v>
      </c>
      <c r="I46" s="20" t="s">
        <v>74</v>
      </c>
      <c r="K46" s="20" t="s">
        <v>75</v>
      </c>
      <c r="L46" s="20" t="s">
        <v>76</v>
      </c>
    </row>
    <row r="47" ht="18" customHeight="1" spans="1:12">
      <c r="A47" s="58" t="s">
        <v>77</v>
      </c>
      <c r="B47" s="17">
        <f>(B12-B43)*0.25</f>
        <v>62277.2753044203</v>
      </c>
      <c r="C47" s="58"/>
      <c r="D47" s="10" t="s">
        <v>78</v>
      </c>
      <c r="E47" s="57" t="s">
        <v>79</v>
      </c>
      <c r="F47" s="71">
        <f>F12-F43</f>
        <v>-44392.1704420351</v>
      </c>
      <c r="G47" s="71">
        <v>0</v>
      </c>
      <c r="H47" s="4">
        <f>F8+F9-F18</f>
        <v>27748.4082735613</v>
      </c>
      <c r="I47" s="71">
        <v>0</v>
      </c>
      <c r="K47" s="71">
        <v>0</v>
      </c>
      <c r="L47" s="71">
        <v>0</v>
      </c>
    </row>
    <row r="48" ht="18" customHeight="1" spans="1:12">
      <c r="A48" s="58" t="s">
        <v>80</v>
      </c>
      <c r="B48" s="72"/>
      <c r="C48" s="58"/>
      <c r="D48" s="73" t="s">
        <v>81</v>
      </c>
      <c r="E48" s="14">
        <v>0.05</v>
      </c>
      <c r="F48" s="74">
        <f>F47*E48</f>
        <v>-2219.60852210175</v>
      </c>
      <c r="G48" s="74">
        <v>0</v>
      </c>
      <c r="H48" s="4">
        <f>H47*E48</f>
        <v>1387.42041367806</v>
      </c>
      <c r="I48" s="74">
        <v>0</v>
      </c>
      <c r="K48" s="74">
        <v>0</v>
      </c>
      <c r="L48" s="74">
        <v>0</v>
      </c>
    </row>
    <row r="49" ht="18" customHeight="1" spans="1:12">
      <c r="A49" s="58" t="s">
        <v>82</v>
      </c>
      <c r="B49" s="72"/>
      <c r="C49" s="58"/>
      <c r="D49" s="73" t="s">
        <v>83</v>
      </c>
      <c r="E49" s="14">
        <v>0.03</v>
      </c>
      <c r="F49" s="74">
        <f>F47*E49</f>
        <v>-1331.76511326105</v>
      </c>
      <c r="G49" s="74">
        <v>0</v>
      </c>
      <c r="H49" s="4">
        <f>H47*E49</f>
        <v>832.452248206839</v>
      </c>
      <c r="I49" s="74">
        <v>0</v>
      </c>
      <c r="K49" s="74">
        <v>0</v>
      </c>
      <c r="L49" s="74">
        <v>0</v>
      </c>
    </row>
    <row r="50" ht="18" customHeight="1" spans="1:12">
      <c r="A50" s="58"/>
      <c r="B50" s="74"/>
      <c r="C50" s="58"/>
      <c r="D50" s="73" t="s">
        <v>84</v>
      </c>
      <c r="E50" s="14">
        <v>0.02</v>
      </c>
      <c r="F50" s="74">
        <f>F47*E50</f>
        <v>-887.843408840702</v>
      </c>
      <c r="G50" s="74">
        <v>0</v>
      </c>
      <c r="H50" s="4">
        <f>H47*E50</f>
        <v>554.968165471226</v>
      </c>
      <c r="I50" s="74">
        <v>0</v>
      </c>
      <c r="K50" s="74">
        <v>0</v>
      </c>
      <c r="L50" s="74">
        <v>0</v>
      </c>
    </row>
    <row r="51" ht="18" customHeight="1" spans="1:12">
      <c r="A51" s="27" t="s">
        <v>85</v>
      </c>
      <c r="B51" s="75">
        <f>SUM(B47:B50)</f>
        <v>62277.2753044203</v>
      </c>
      <c r="C51" s="58"/>
      <c r="D51" s="27" t="s">
        <v>85</v>
      </c>
      <c r="E51" s="27"/>
      <c r="F51" s="76">
        <f>SUM(F47:F50)</f>
        <v>-48831.3874862386</v>
      </c>
      <c r="G51" s="74">
        <v>0</v>
      </c>
      <c r="H51" s="4">
        <f>SUM(H47:H50)</f>
        <v>30523.2491009174</v>
      </c>
      <c r="I51" s="74">
        <v>0</v>
      </c>
      <c r="K51" s="74">
        <v>0</v>
      </c>
      <c r="L51" s="74">
        <v>0</v>
      </c>
    </row>
    <row r="52" ht="18" customHeight="1" spans="3:12">
      <c r="C52" s="7"/>
      <c r="D52" s="12" t="s">
        <v>80</v>
      </c>
      <c r="E52" s="77">
        <v>0.0003</v>
      </c>
      <c r="F52" s="74">
        <f>G12*E52</f>
        <v>1305</v>
      </c>
      <c r="G52" s="74">
        <f>G8*E52</f>
        <v>240</v>
      </c>
      <c r="I52" s="74">
        <f>G9*E52</f>
        <v>180</v>
      </c>
      <c r="K52" s="74">
        <f>G10*E52</f>
        <v>885</v>
      </c>
      <c r="L52" s="74">
        <f>G11*E52</f>
        <v>0</v>
      </c>
    </row>
    <row r="53" ht="18" customHeight="1" spans="3:12">
      <c r="C53" s="7"/>
      <c r="D53" s="12" t="s">
        <v>82</v>
      </c>
      <c r="E53" s="77">
        <v>0.0006</v>
      </c>
      <c r="F53" s="74">
        <f>B12*E53</f>
        <v>2390.49207673061</v>
      </c>
      <c r="G53" s="74">
        <f>B8*E53</f>
        <v>436.363636363636</v>
      </c>
      <c r="I53" s="74">
        <f>B9*E53</f>
        <v>330.275229357798</v>
      </c>
      <c r="K53" s="74">
        <f>B10*E53</f>
        <v>1623.85321100917</v>
      </c>
      <c r="L53" s="74">
        <f>B11*E53</f>
        <v>0</v>
      </c>
    </row>
    <row r="54" ht="18" customHeight="1" spans="3:12">
      <c r="C54" s="7"/>
      <c r="D54" s="29" t="s">
        <v>22</v>
      </c>
      <c r="E54" s="29"/>
      <c r="F54" s="78">
        <f>F51+F52+F53</f>
        <v>-45135.895409508</v>
      </c>
      <c r="G54" s="78">
        <f>G51+G52+G53</f>
        <v>676.363636363636</v>
      </c>
      <c r="I54" s="78">
        <f t="shared" ref="I54:L54" si="11">I52+I53</f>
        <v>510.275229357798</v>
      </c>
      <c r="K54" s="78">
        <f t="shared" si="11"/>
        <v>2508.85321100917</v>
      </c>
      <c r="L54" s="78">
        <f t="shared" si="11"/>
        <v>0</v>
      </c>
    </row>
    <row r="55" ht="18" customHeight="1" spans="3:12">
      <c r="C55" s="7"/>
      <c r="G55" s="6">
        <v>70059.5618181818</v>
      </c>
      <c r="H55" s="79" t="s">
        <v>86</v>
      </c>
      <c r="L55" s="1">
        <f>B44*0.25</f>
        <v>62277.2753044203</v>
      </c>
    </row>
    <row r="56" ht="73.5" customHeight="1" spans="3:9">
      <c r="C56" s="7"/>
      <c r="G56" s="6">
        <f>B44*0.25</f>
        <v>62277.2753044203</v>
      </c>
      <c r="H56" s="80" t="s">
        <v>87</v>
      </c>
      <c r="I56" s="6">
        <f>B44*0.25</f>
        <v>62277.2753044203</v>
      </c>
    </row>
    <row r="57" ht="18" customHeight="1" spans="3:8">
      <c r="C57" s="7"/>
      <c r="H57" s="51" t="s">
        <v>88</v>
      </c>
    </row>
    <row r="58" ht="18" customHeight="1" spans="3:3">
      <c r="C58" s="7"/>
    </row>
    <row r="59" spans="3:3">
      <c r="C59" s="7"/>
    </row>
    <row r="60" spans="3:12">
      <c r="C60" s="7"/>
      <c r="I60" s="6" t="s">
        <v>89</v>
      </c>
      <c r="J60" s="21" t="s">
        <v>70</v>
      </c>
      <c r="K60" s="19" t="s">
        <v>16</v>
      </c>
      <c r="L60" s="20" t="s">
        <v>90</v>
      </c>
    </row>
    <row r="61" spans="3:12">
      <c r="C61" s="7"/>
      <c r="J61" s="10" t="s">
        <v>78</v>
      </c>
      <c r="K61" s="57" t="s">
        <v>79</v>
      </c>
      <c r="L61" s="71">
        <v>35883.0589157632</v>
      </c>
    </row>
    <row r="62" spans="3:12">
      <c r="C62" s="7"/>
      <c r="J62" s="73" t="s">
        <v>81</v>
      </c>
      <c r="K62" s="14">
        <v>0.05</v>
      </c>
      <c r="L62" s="74">
        <v>1794.15294578816</v>
      </c>
    </row>
    <row r="63" spans="3:12">
      <c r="C63" s="7"/>
      <c r="J63" s="73" t="s">
        <v>83</v>
      </c>
      <c r="K63" s="14">
        <v>0.03</v>
      </c>
      <c r="L63" s="74">
        <v>1076.49176747289</v>
      </c>
    </row>
    <row r="64" spans="3:12">
      <c r="C64" s="7"/>
      <c r="J64" s="73" t="s">
        <v>84</v>
      </c>
      <c r="K64" s="14">
        <v>0.02</v>
      </c>
      <c r="L64" s="74">
        <v>717.661178315263</v>
      </c>
    </row>
    <row r="65" spans="3:12">
      <c r="C65" s="7"/>
      <c r="J65" s="27" t="s">
        <v>85</v>
      </c>
      <c r="K65" s="27"/>
      <c r="L65" s="76">
        <v>39471.3648073395</v>
      </c>
    </row>
    <row r="66" spans="3:3">
      <c r="C66" s="7"/>
    </row>
    <row r="67" spans="3:3">
      <c r="C67" s="7"/>
    </row>
    <row r="68" spans="3:3">
      <c r="C68" s="7"/>
    </row>
    <row r="69" spans="3:3">
      <c r="C69" s="7"/>
    </row>
    <row r="70" spans="3:3">
      <c r="C70" s="7"/>
    </row>
    <row r="71" spans="3:3">
      <c r="C71" s="7"/>
    </row>
    <row r="72" spans="3:3">
      <c r="C72" s="7"/>
    </row>
    <row r="73" spans="3:3">
      <c r="C73" s="7"/>
    </row>
    <row r="74" spans="3:3">
      <c r="C74" s="7"/>
    </row>
  </sheetData>
  <autoFilter ref="A14:O5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topLeftCell="A20" workbookViewId="0">
      <selection activeCell="K39" sqref="K39"/>
    </sheetView>
  </sheetViews>
  <sheetFormatPr defaultColWidth="9" defaultRowHeight="11.25"/>
  <cols>
    <col min="1" max="1" width="10.75" style="7" customWidth="1"/>
    <col min="2" max="2" width="13.125" style="6" customWidth="1"/>
    <col min="3" max="3" width="6" style="4" customWidth="1"/>
    <col min="4" max="4" width="13.375" style="4" customWidth="1"/>
    <col min="5" max="5" width="6" style="4" customWidth="1"/>
    <col min="6" max="6" width="13.125" style="6" customWidth="1"/>
    <col min="7" max="7" width="14.125" style="6" customWidth="1"/>
    <col min="8" max="8" width="11.125" style="4" customWidth="1"/>
    <col min="9" max="9" width="13.875" style="6" customWidth="1"/>
    <col min="10" max="10" width="12.375" style="5" customWidth="1"/>
    <col min="11" max="11" width="31.5" style="1" customWidth="1"/>
    <col min="12" max="12" width="15.5" style="1" customWidth="1"/>
    <col min="13" max="13" width="13" style="1" customWidth="1"/>
    <col min="14" max="14" width="5.625" style="1" customWidth="1"/>
    <col min="15" max="15" width="9.625" style="1"/>
    <col min="16" max="16" width="9" style="7"/>
    <col min="17" max="17" width="9.625" style="7"/>
    <col min="18" max="16384" width="9" style="7"/>
  </cols>
  <sheetData>
    <row r="1" s="1" customFormat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s="1" customFormat="1" ht="18" customHeight="1" spans="1:12">
      <c r="A2" s="10" t="s">
        <v>1</v>
      </c>
      <c r="B2" s="11">
        <v>43096</v>
      </c>
      <c r="C2" s="12" t="s">
        <v>2</v>
      </c>
      <c r="D2" s="90">
        <v>6752106</v>
      </c>
      <c r="E2" s="14" t="s">
        <v>3</v>
      </c>
      <c r="F2" s="12" t="s">
        <v>4</v>
      </c>
      <c r="G2" s="15" t="s">
        <v>5</v>
      </c>
      <c r="H2" s="16" t="s">
        <v>6</v>
      </c>
      <c r="I2" s="54"/>
      <c r="J2" s="55"/>
      <c r="K2" s="18"/>
      <c r="L2" s="18"/>
    </row>
    <row r="3" s="1" customFormat="1" ht="18" customHeight="1" spans="1:12">
      <c r="A3" s="10" t="s">
        <v>7</v>
      </c>
      <c r="B3" s="17"/>
      <c r="C3" s="12" t="s">
        <v>8</v>
      </c>
      <c r="D3" s="12"/>
      <c r="E3" s="4"/>
      <c r="F3" s="6"/>
      <c r="G3" s="6"/>
      <c r="H3" s="18"/>
      <c r="I3" s="56"/>
      <c r="J3" s="18"/>
      <c r="K3" s="18"/>
      <c r="L3" s="18"/>
    </row>
    <row r="4" s="1" customFormat="1" ht="18" customHeight="1" spans="1:12">
      <c r="A4" s="7" t="s">
        <v>9</v>
      </c>
      <c r="B4" s="6"/>
      <c r="C4" s="4"/>
      <c r="D4" s="4"/>
      <c r="E4" s="4"/>
      <c r="F4" s="6"/>
      <c r="G4" s="6"/>
      <c r="H4" s="18"/>
      <c r="I4" s="56"/>
      <c r="J4" s="18"/>
      <c r="K4" s="18"/>
      <c r="L4" s="18"/>
    </row>
    <row r="5" s="1" customFormat="1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s="1" customFormat="1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s="1" customFormat="1" ht="18" customHeight="1" spans="1:10">
      <c r="A7" s="7"/>
      <c r="B7" s="74">
        <f t="shared" ref="B7:B11" si="0">G7/(1+C7+E7)</f>
        <v>0</v>
      </c>
      <c r="C7" s="23">
        <v>0.02</v>
      </c>
      <c r="D7" s="91">
        <f t="shared" ref="D7:D11" si="1">G7/(1+E7+C7)*C7</f>
        <v>0</v>
      </c>
      <c r="E7" s="23">
        <v>0.08</v>
      </c>
      <c r="F7" s="74">
        <f t="shared" ref="F7:F11" si="2">G7/(1+C7+E7)*E7</f>
        <v>0</v>
      </c>
      <c r="G7" s="92"/>
      <c r="H7" s="22"/>
      <c r="I7" s="74"/>
      <c r="J7" s="57"/>
    </row>
    <row r="8" s="1" customFormat="1" ht="18" customHeight="1" spans="1:10">
      <c r="A8" s="22">
        <v>43497</v>
      </c>
      <c r="B8" s="74">
        <f t="shared" si="0"/>
        <v>727272.727272727</v>
      </c>
      <c r="C8" s="23">
        <v>0.02</v>
      </c>
      <c r="D8" s="91">
        <f t="shared" si="1"/>
        <v>14545.4545454545</v>
      </c>
      <c r="E8" s="23">
        <v>0.08</v>
      </c>
      <c r="F8" s="74">
        <f t="shared" si="2"/>
        <v>58181.8181818182</v>
      </c>
      <c r="G8" s="92">
        <v>800000</v>
      </c>
      <c r="H8" s="22">
        <v>43507</v>
      </c>
      <c r="I8" s="74">
        <v>800000</v>
      </c>
      <c r="J8" s="57" t="s">
        <v>21</v>
      </c>
    </row>
    <row r="9" s="1" customFormat="1" ht="18" customHeight="1" spans="1:10">
      <c r="A9" s="22">
        <v>43717</v>
      </c>
      <c r="B9" s="74">
        <f t="shared" si="0"/>
        <v>550458.71559633</v>
      </c>
      <c r="C9" s="26">
        <v>0.02</v>
      </c>
      <c r="D9" s="91">
        <f t="shared" si="1"/>
        <v>11009.1743119266</v>
      </c>
      <c r="E9" s="26">
        <v>0.07</v>
      </c>
      <c r="F9" s="74">
        <f t="shared" si="2"/>
        <v>38532.1100917431</v>
      </c>
      <c r="G9" s="92">
        <v>600000</v>
      </c>
      <c r="H9" s="22">
        <v>43732</v>
      </c>
      <c r="I9" s="74">
        <v>600000</v>
      </c>
      <c r="J9" s="57" t="s">
        <v>21</v>
      </c>
    </row>
    <row r="10" s="1" customFormat="1" ht="18" customHeight="1" spans="1:10">
      <c r="A10" s="22">
        <v>43845</v>
      </c>
      <c r="B10" s="74">
        <f t="shared" si="0"/>
        <v>2706422.01834862</v>
      </c>
      <c r="C10" s="26">
        <v>0.02</v>
      </c>
      <c r="D10" s="91">
        <f t="shared" si="1"/>
        <v>54128.4403669725</v>
      </c>
      <c r="E10" s="26">
        <v>0.07</v>
      </c>
      <c r="F10" s="74">
        <f t="shared" si="2"/>
        <v>189449.541284404</v>
      </c>
      <c r="G10" s="92">
        <v>2950000</v>
      </c>
      <c r="H10" s="22">
        <v>43850</v>
      </c>
      <c r="I10" s="74">
        <v>2950000</v>
      </c>
      <c r="J10" s="57" t="s">
        <v>21</v>
      </c>
    </row>
    <row r="11" s="1" customFormat="1" ht="18" customHeight="1" spans="1:10">
      <c r="A11" s="22">
        <v>43984</v>
      </c>
      <c r="B11" s="74">
        <f t="shared" si="0"/>
        <v>1146788.99082569</v>
      </c>
      <c r="C11" s="26">
        <v>0.02</v>
      </c>
      <c r="D11" s="91">
        <f t="shared" si="1"/>
        <v>22935.7798165138</v>
      </c>
      <c r="E11" s="26">
        <v>0.07</v>
      </c>
      <c r="F11" s="74">
        <f t="shared" si="2"/>
        <v>80275.2293577982</v>
      </c>
      <c r="G11" s="92">
        <v>1250000</v>
      </c>
      <c r="H11" s="22">
        <v>44000</v>
      </c>
      <c r="I11" s="74">
        <v>1250000</v>
      </c>
      <c r="J11" s="57" t="s">
        <v>21</v>
      </c>
    </row>
    <row r="12" s="1" customFormat="1" ht="18" customHeight="1" spans="1:10">
      <c r="A12" s="27" t="s">
        <v>22</v>
      </c>
      <c r="B12" s="89">
        <f t="shared" ref="B12:G12" si="3">SUM(B7:B11)</f>
        <v>5130942.45204337</v>
      </c>
      <c r="C12" s="29"/>
      <c r="D12" s="89">
        <f t="shared" si="3"/>
        <v>102618.849040867</v>
      </c>
      <c r="E12" s="29"/>
      <c r="F12" s="89">
        <f t="shared" si="3"/>
        <v>366438.698915763</v>
      </c>
      <c r="G12" s="92">
        <f t="shared" si="3"/>
        <v>5600000</v>
      </c>
      <c r="H12" s="58"/>
      <c r="I12" s="74">
        <f>SUM(I8:I11)</f>
        <v>5600000</v>
      </c>
      <c r="J12" s="58"/>
    </row>
    <row r="13" s="1" customFormat="1" ht="18" customHeight="1" spans="1:12">
      <c r="A13" s="7" t="s">
        <v>23</v>
      </c>
      <c r="B13" s="6"/>
      <c r="C13" s="4"/>
      <c r="D13" s="4"/>
      <c r="E13" s="4"/>
      <c r="F13" s="6"/>
      <c r="G13" s="6"/>
      <c r="H13" s="4"/>
      <c r="I13" s="6"/>
      <c r="J13" s="4"/>
      <c r="K13" s="4"/>
      <c r="L13" s="5"/>
    </row>
    <row r="14" s="1" customFormat="1" ht="18" customHeight="1" spans="1:15">
      <c r="A14" s="32" t="s">
        <v>24</v>
      </c>
      <c r="B14" s="20" t="s">
        <v>25</v>
      </c>
      <c r="C14" s="19" t="s">
        <v>26</v>
      </c>
      <c r="D14" s="19" t="s">
        <v>27</v>
      </c>
      <c r="E14" s="19" t="s">
        <v>16</v>
      </c>
      <c r="F14" s="20" t="s">
        <v>28</v>
      </c>
      <c r="G14" s="20" t="s">
        <v>14</v>
      </c>
      <c r="H14" s="19" t="s">
        <v>29</v>
      </c>
      <c r="I14" s="20" t="s">
        <v>30</v>
      </c>
      <c r="J14" s="19" t="s">
        <v>20</v>
      </c>
      <c r="K14" s="59" t="s">
        <v>31</v>
      </c>
      <c r="L14" s="21" t="s">
        <v>32</v>
      </c>
      <c r="M14" s="21" t="s">
        <v>33</v>
      </c>
      <c r="N14" s="21" t="s">
        <v>34</v>
      </c>
      <c r="O14" s="21" t="s">
        <v>35</v>
      </c>
    </row>
    <row r="15" s="2" customFormat="1" ht="18" customHeight="1" spans="1:15">
      <c r="A15" s="33"/>
      <c r="B15" s="17">
        <f t="shared" ref="B15:B37" si="4">ROUND(G15/(1+E15),2)</f>
        <v>0</v>
      </c>
      <c r="C15" s="35"/>
      <c r="D15" s="36"/>
      <c r="E15" s="37"/>
      <c r="F15" s="17">
        <f t="shared" ref="F15:F39" si="5">ROUND(G15/(1+E15)*E15,2)</f>
        <v>0</v>
      </c>
      <c r="G15" s="92"/>
      <c r="H15" s="22" t="s">
        <v>36</v>
      </c>
      <c r="I15" s="74">
        <v>-496600</v>
      </c>
      <c r="J15" s="57" t="s">
        <v>37</v>
      </c>
      <c r="K15" s="60" t="s">
        <v>38</v>
      </c>
      <c r="L15" s="61"/>
      <c r="M15" s="62"/>
      <c r="N15" s="62"/>
      <c r="O15" s="61"/>
    </row>
    <row r="16" s="2" customFormat="1" ht="18" customHeight="1" spans="1:15">
      <c r="A16" s="33"/>
      <c r="B16" s="17">
        <f t="shared" si="4"/>
        <v>0</v>
      </c>
      <c r="C16" s="35"/>
      <c r="D16" s="36"/>
      <c r="E16" s="37"/>
      <c r="F16" s="17">
        <f t="shared" si="5"/>
        <v>0</v>
      </c>
      <c r="G16" s="92"/>
      <c r="H16" s="22" t="s">
        <v>36</v>
      </c>
      <c r="I16" s="74">
        <v>496600</v>
      </c>
      <c r="J16" s="57" t="s">
        <v>21</v>
      </c>
      <c r="K16" s="60" t="s">
        <v>39</v>
      </c>
      <c r="L16" s="61" t="s">
        <v>40</v>
      </c>
      <c r="M16" s="62"/>
      <c r="N16" s="62"/>
      <c r="O16" s="61"/>
    </row>
    <row r="17" s="2" customFormat="1" ht="18" customHeight="1" spans="1:15">
      <c r="A17" s="33"/>
      <c r="B17" s="17">
        <f t="shared" si="4"/>
        <v>0</v>
      </c>
      <c r="C17" s="35"/>
      <c r="D17" s="36"/>
      <c r="E17" s="37"/>
      <c r="F17" s="17">
        <f t="shared" si="5"/>
        <v>0</v>
      </c>
      <c r="G17" s="92"/>
      <c r="H17" s="22" t="s">
        <v>36</v>
      </c>
      <c r="I17" s="74">
        <v>-500000</v>
      </c>
      <c r="J17" s="57" t="s">
        <v>37</v>
      </c>
      <c r="K17" s="60" t="s">
        <v>38</v>
      </c>
      <c r="L17" s="61"/>
      <c r="M17" s="62"/>
      <c r="N17" s="62"/>
      <c r="O17" s="61"/>
    </row>
    <row r="18" s="2" customFormat="1" ht="18" customHeight="1" spans="1:15">
      <c r="A18" s="33">
        <v>43497</v>
      </c>
      <c r="B18" s="17">
        <f t="shared" si="4"/>
        <v>431034.48</v>
      </c>
      <c r="C18" s="35"/>
      <c r="D18" s="36" t="s">
        <v>41</v>
      </c>
      <c r="E18" s="37">
        <v>0.16</v>
      </c>
      <c r="F18" s="17">
        <f t="shared" si="5"/>
        <v>68965.52</v>
      </c>
      <c r="G18" s="92">
        <v>500000</v>
      </c>
      <c r="H18" s="22" t="s">
        <v>36</v>
      </c>
      <c r="I18" s="74">
        <v>500000</v>
      </c>
      <c r="J18" s="57" t="s">
        <v>21</v>
      </c>
      <c r="K18" s="60" t="s">
        <v>39</v>
      </c>
      <c r="L18" s="61" t="s">
        <v>40</v>
      </c>
      <c r="M18" s="62"/>
      <c r="N18" s="62"/>
      <c r="O18" s="61"/>
    </row>
    <row r="19" s="2" customFormat="1" ht="18" customHeight="1" spans="1:15">
      <c r="A19" s="33"/>
      <c r="B19" s="17">
        <f t="shared" si="4"/>
        <v>0</v>
      </c>
      <c r="C19" s="35"/>
      <c r="D19" s="36"/>
      <c r="E19" s="37"/>
      <c r="F19" s="17">
        <f t="shared" si="5"/>
        <v>0</v>
      </c>
      <c r="G19" s="92"/>
      <c r="H19" s="22">
        <v>43529</v>
      </c>
      <c r="I19" s="74">
        <v>500000</v>
      </c>
      <c r="J19" s="57" t="s">
        <v>37</v>
      </c>
      <c r="K19" s="60" t="s">
        <v>38</v>
      </c>
      <c r="L19" s="61"/>
      <c r="M19" s="62"/>
      <c r="N19" s="62"/>
      <c r="O19" s="61"/>
    </row>
    <row r="20" s="2" customFormat="1" ht="18" customHeight="1" spans="1:15">
      <c r="A20" s="33">
        <v>43525</v>
      </c>
      <c r="B20" s="17">
        <f t="shared" si="4"/>
        <v>165000</v>
      </c>
      <c r="C20" s="35"/>
      <c r="D20" s="36" t="s">
        <v>42</v>
      </c>
      <c r="E20" s="37"/>
      <c r="F20" s="17">
        <f t="shared" si="5"/>
        <v>0</v>
      </c>
      <c r="G20" s="92">
        <v>165000</v>
      </c>
      <c r="H20" s="22">
        <v>43543</v>
      </c>
      <c r="I20" s="74">
        <v>165000</v>
      </c>
      <c r="J20" s="57" t="s">
        <v>37</v>
      </c>
      <c r="K20" s="60" t="s">
        <v>43</v>
      </c>
      <c r="L20" s="61" t="s">
        <v>44</v>
      </c>
      <c r="M20" s="62"/>
      <c r="N20" s="62"/>
      <c r="O20" s="61"/>
    </row>
    <row r="21" s="2" customFormat="1" ht="18" customHeight="1" spans="1:15">
      <c r="A21" s="33">
        <v>43525</v>
      </c>
      <c r="B21" s="17">
        <f t="shared" si="4"/>
        <v>127000</v>
      </c>
      <c r="C21" s="35"/>
      <c r="D21" s="36" t="s">
        <v>42</v>
      </c>
      <c r="E21" s="37"/>
      <c r="F21" s="17">
        <f t="shared" si="5"/>
        <v>0</v>
      </c>
      <c r="G21" s="92">
        <v>127000</v>
      </c>
      <c r="H21" s="22">
        <v>43543</v>
      </c>
      <c r="I21" s="74">
        <v>109823</v>
      </c>
      <c r="J21" s="57" t="s">
        <v>37</v>
      </c>
      <c r="K21" s="60" t="s">
        <v>45</v>
      </c>
      <c r="L21" s="61" t="s">
        <v>46</v>
      </c>
      <c r="M21" s="62"/>
      <c r="N21" s="62"/>
      <c r="O21" s="61"/>
    </row>
    <row r="22" s="2" customFormat="1" ht="18" customHeight="1" spans="1:15">
      <c r="A22" s="33">
        <v>43709</v>
      </c>
      <c r="B22" s="17">
        <f t="shared" si="4"/>
        <v>439469.03</v>
      </c>
      <c r="C22" s="35"/>
      <c r="D22" s="36" t="s">
        <v>41</v>
      </c>
      <c r="E22" s="38">
        <v>0.13</v>
      </c>
      <c r="F22" s="17">
        <f t="shared" si="5"/>
        <v>57130.97</v>
      </c>
      <c r="G22" s="92">
        <v>496600</v>
      </c>
      <c r="H22" s="22">
        <v>43748</v>
      </c>
      <c r="I22" s="74">
        <v>500000</v>
      </c>
      <c r="J22" s="57" t="s">
        <v>21</v>
      </c>
      <c r="K22" s="60" t="s">
        <v>39</v>
      </c>
      <c r="L22" s="61" t="s">
        <v>47</v>
      </c>
      <c r="M22" s="62"/>
      <c r="N22" s="62"/>
      <c r="O22" s="61"/>
    </row>
    <row r="23" s="2" customFormat="1" ht="18" customHeight="1" spans="1:15">
      <c r="A23" s="33"/>
      <c r="B23" s="17">
        <f t="shared" si="4"/>
        <v>0</v>
      </c>
      <c r="C23" s="35"/>
      <c r="D23" s="36"/>
      <c r="E23" s="38"/>
      <c r="F23" s="17">
        <f t="shared" si="5"/>
        <v>0</v>
      </c>
      <c r="G23" s="92"/>
      <c r="H23" s="22">
        <v>43752</v>
      </c>
      <c r="I23" s="74">
        <v>-500000</v>
      </c>
      <c r="J23" s="57" t="s">
        <v>37</v>
      </c>
      <c r="K23" s="60" t="s">
        <v>38</v>
      </c>
      <c r="L23" s="61"/>
      <c r="M23" s="62"/>
      <c r="N23" s="62"/>
      <c r="O23" s="61"/>
    </row>
    <row r="24" s="2" customFormat="1" ht="18" customHeight="1" spans="1:15">
      <c r="A24" s="33"/>
      <c r="B24" s="17">
        <f t="shared" si="4"/>
        <v>0</v>
      </c>
      <c r="C24" s="35"/>
      <c r="D24" s="36"/>
      <c r="E24" s="38"/>
      <c r="F24" s="17">
        <f t="shared" si="5"/>
        <v>0</v>
      </c>
      <c r="G24" s="92"/>
      <c r="H24" s="22">
        <v>43753</v>
      </c>
      <c r="I24" s="74">
        <v>500000</v>
      </c>
      <c r="J24" s="57" t="s">
        <v>21</v>
      </c>
      <c r="K24" s="60" t="s">
        <v>39</v>
      </c>
      <c r="L24" s="61" t="s">
        <v>40</v>
      </c>
      <c r="M24" s="62"/>
      <c r="N24" s="62"/>
      <c r="O24" s="61"/>
    </row>
    <row r="25" s="2" customFormat="1" ht="18" customHeight="1" spans="1:15">
      <c r="A25" s="33">
        <v>43831</v>
      </c>
      <c r="B25" s="17">
        <f t="shared" si="4"/>
        <v>390000</v>
      </c>
      <c r="C25" s="35"/>
      <c r="D25" s="36" t="s">
        <v>48</v>
      </c>
      <c r="E25" s="38"/>
      <c r="F25" s="17">
        <f t="shared" si="5"/>
        <v>0</v>
      </c>
      <c r="G25" s="92">
        <f>97500+97500+97500+97500</f>
        <v>390000</v>
      </c>
      <c r="H25" s="22">
        <v>43852</v>
      </c>
      <c r="I25" s="74">
        <v>392000</v>
      </c>
      <c r="J25" s="57" t="s">
        <v>21</v>
      </c>
      <c r="K25" s="60" t="s">
        <v>49</v>
      </c>
      <c r="L25" s="61" t="s">
        <v>50</v>
      </c>
      <c r="M25" s="62"/>
      <c r="N25" s="62"/>
      <c r="O25" s="61"/>
    </row>
    <row r="26" s="3" customFormat="1" ht="18" customHeight="1" spans="1:15">
      <c r="A26" s="33">
        <v>43831</v>
      </c>
      <c r="B26" s="17">
        <f t="shared" si="4"/>
        <v>1415929.2</v>
      </c>
      <c r="C26" s="35"/>
      <c r="D26" s="36" t="s">
        <v>41</v>
      </c>
      <c r="E26" s="38">
        <v>0.13</v>
      </c>
      <c r="F26" s="17">
        <f t="shared" si="5"/>
        <v>184070.8</v>
      </c>
      <c r="G26" s="92">
        <f>110000*6+53600+110800*8</f>
        <v>1600000</v>
      </c>
      <c r="H26" s="39">
        <v>43852</v>
      </c>
      <c r="I26" s="17">
        <v>1600000</v>
      </c>
      <c r="J26" s="62" t="s">
        <v>21</v>
      </c>
      <c r="K26" s="60" t="s">
        <v>39</v>
      </c>
      <c r="L26" s="61" t="s">
        <v>51</v>
      </c>
      <c r="M26" s="62" t="s">
        <v>91</v>
      </c>
      <c r="N26" s="63"/>
      <c r="O26" s="64"/>
    </row>
    <row r="27" s="2" customFormat="1" ht="18" customHeight="1" spans="1:15">
      <c r="A27" s="33">
        <v>43831</v>
      </c>
      <c r="B27" s="17">
        <f t="shared" si="4"/>
        <v>679611.65</v>
      </c>
      <c r="C27" s="35"/>
      <c r="D27" s="36" t="s">
        <v>41</v>
      </c>
      <c r="E27" s="38">
        <v>0.03</v>
      </c>
      <c r="F27" s="17">
        <f t="shared" si="5"/>
        <v>20388.35</v>
      </c>
      <c r="G27" s="92">
        <v>700000</v>
      </c>
      <c r="H27" s="22">
        <v>43852</v>
      </c>
      <c r="I27" s="74">
        <v>700000</v>
      </c>
      <c r="J27" s="57" t="s">
        <v>21</v>
      </c>
      <c r="K27" s="60" t="s">
        <v>49</v>
      </c>
      <c r="L27" s="61" t="s">
        <v>44</v>
      </c>
      <c r="M27" s="62"/>
      <c r="N27" s="62"/>
      <c r="O27" s="61"/>
    </row>
    <row r="28" s="2" customFormat="1" ht="18" customHeight="1" spans="1:15">
      <c r="A28" s="33"/>
      <c r="B28" s="17">
        <f t="shared" si="4"/>
        <v>0</v>
      </c>
      <c r="C28" s="35"/>
      <c r="D28" s="36"/>
      <c r="E28" s="38"/>
      <c r="F28" s="17">
        <f t="shared" si="5"/>
        <v>0</v>
      </c>
      <c r="G28" s="92"/>
      <c r="H28" s="22">
        <v>44005</v>
      </c>
      <c r="I28" s="17">
        <v>750000</v>
      </c>
      <c r="J28" s="62" t="s">
        <v>21</v>
      </c>
      <c r="K28" s="60" t="s">
        <v>39</v>
      </c>
      <c r="L28" s="61"/>
      <c r="M28" s="62"/>
      <c r="N28" s="62"/>
      <c r="O28" s="61"/>
    </row>
    <row r="29" s="3" customFormat="1" ht="18" customHeight="1" spans="1:15">
      <c r="A29" s="33">
        <v>44002</v>
      </c>
      <c r="B29" s="17">
        <f t="shared" si="4"/>
        <v>371150.44</v>
      </c>
      <c r="C29" s="35"/>
      <c r="D29" s="36" t="s">
        <v>41</v>
      </c>
      <c r="E29" s="38">
        <v>0.13</v>
      </c>
      <c r="F29" s="17">
        <f t="shared" si="5"/>
        <v>48249.56</v>
      </c>
      <c r="G29" s="92">
        <f>104850*4</f>
        <v>419400</v>
      </c>
      <c r="H29" s="39"/>
      <c r="I29" s="17"/>
      <c r="J29" s="62"/>
      <c r="K29" s="60" t="s">
        <v>39</v>
      </c>
      <c r="L29" s="61" t="s">
        <v>92</v>
      </c>
      <c r="M29" s="62" t="s">
        <v>93</v>
      </c>
      <c r="N29" s="63"/>
      <c r="O29" s="64"/>
    </row>
    <row r="30" s="3" customFormat="1" ht="18" customHeight="1" spans="1:15">
      <c r="A30" s="33">
        <v>44032</v>
      </c>
      <c r="B30" s="17">
        <f t="shared" si="4"/>
        <v>292566.37</v>
      </c>
      <c r="C30" s="35"/>
      <c r="D30" s="36" t="s">
        <v>41</v>
      </c>
      <c r="E30" s="38">
        <v>0.13</v>
      </c>
      <c r="F30" s="17">
        <f t="shared" si="5"/>
        <v>38033.63</v>
      </c>
      <c r="G30" s="92">
        <f>110200*3</f>
        <v>330600</v>
      </c>
      <c r="H30" s="39"/>
      <c r="I30" s="17"/>
      <c r="J30" s="62"/>
      <c r="K30" s="60" t="s">
        <v>39</v>
      </c>
      <c r="L30" s="61" t="s">
        <v>94</v>
      </c>
      <c r="M30" s="62" t="s">
        <v>93</v>
      </c>
      <c r="N30" s="63"/>
      <c r="O30" s="64"/>
    </row>
    <row r="31" s="3" customFormat="1" ht="18" customHeight="1" spans="1:15">
      <c r="A31" s="33">
        <v>44063</v>
      </c>
      <c r="B31" s="17">
        <f t="shared" si="4"/>
        <v>517507.52</v>
      </c>
      <c r="C31" s="35"/>
      <c r="D31" s="36" t="s">
        <v>41</v>
      </c>
      <c r="E31" s="38">
        <v>0.01</v>
      </c>
      <c r="F31" s="17">
        <f t="shared" si="5"/>
        <v>5175.08</v>
      </c>
      <c r="G31" s="92">
        <f>100000+100000+100000+100000+100000+22682.6</f>
        <v>522682.6</v>
      </c>
      <c r="H31" s="39">
        <v>44056</v>
      </c>
      <c r="I31" s="17">
        <v>522682.6</v>
      </c>
      <c r="J31" s="62" t="s">
        <v>21</v>
      </c>
      <c r="K31" s="60" t="s">
        <v>95</v>
      </c>
      <c r="L31" s="61" t="s">
        <v>96</v>
      </c>
      <c r="M31" s="62" t="s">
        <v>97</v>
      </c>
      <c r="N31" s="63"/>
      <c r="O31" s="64"/>
    </row>
    <row r="32" s="3" customFormat="1" ht="18" customHeight="1" spans="1:15">
      <c r="A32" s="40"/>
      <c r="B32" s="89">
        <f t="shared" si="4"/>
        <v>0</v>
      </c>
      <c r="C32" s="42"/>
      <c r="D32" s="43"/>
      <c r="E32" s="44"/>
      <c r="F32" s="17">
        <f t="shared" si="5"/>
        <v>0</v>
      </c>
      <c r="G32" s="93"/>
      <c r="H32" s="39" t="s">
        <v>98</v>
      </c>
      <c r="I32" s="74">
        <v>100</v>
      </c>
      <c r="J32" s="57" t="s">
        <v>56</v>
      </c>
      <c r="K32" s="60" t="s">
        <v>58</v>
      </c>
      <c r="L32" s="64"/>
      <c r="M32" s="63"/>
      <c r="N32" s="63"/>
      <c r="O32" s="64"/>
    </row>
    <row r="33" s="3" customFormat="1" ht="18" customHeight="1" spans="1:15">
      <c r="A33" s="40"/>
      <c r="B33" s="89">
        <f t="shared" si="4"/>
        <v>0</v>
      </c>
      <c r="C33" s="42"/>
      <c r="D33" s="43"/>
      <c r="E33" s="44"/>
      <c r="F33" s="17">
        <f t="shared" si="5"/>
        <v>0</v>
      </c>
      <c r="G33" s="93"/>
      <c r="H33" s="22" t="s">
        <v>99</v>
      </c>
      <c r="I33" s="17">
        <v>-290000</v>
      </c>
      <c r="J33" s="62" t="s">
        <v>62</v>
      </c>
      <c r="K33" s="60" t="s">
        <v>100</v>
      </c>
      <c r="L33" s="64"/>
      <c r="M33" s="63"/>
      <c r="N33" s="63"/>
      <c r="O33" s="64"/>
    </row>
    <row r="34" s="2" customFormat="1" ht="18" customHeight="1" spans="1:15">
      <c r="A34" s="33"/>
      <c r="B34" s="89">
        <f t="shared" si="4"/>
        <v>0</v>
      </c>
      <c r="C34" s="35"/>
      <c r="D34" s="36"/>
      <c r="E34" s="38"/>
      <c r="F34" s="17">
        <f t="shared" si="5"/>
        <v>0</v>
      </c>
      <c r="G34" s="92"/>
      <c r="H34" s="22" t="s">
        <v>99</v>
      </c>
      <c r="I34" s="74">
        <v>100</v>
      </c>
      <c r="J34" s="57" t="s">
        <v>56</v>
      </c>
      <c r="K34" s="60" t="s">
        <v>58</v>
      </c>
      <c r="L34" s="61"/>
      <c r="M34" s="62"/>
      <c r="N34" s="62"/>
      <c r="O34" s="61"/>
    </row>
    <row r="35" s="2" customFormat="1" ht="18" customHeight="1" spans="1:15">
      <c r="A35" s="33"/>
      <c r="B35" s="89">
        <f t="shared" si="4"/>
        <v>0</v>
      </c>
      <c r="C35" s="35"/>
      <c r="D35" s="36"/>
      <c r="E35" s="38"/>
      <c r="F35" s="17">
        <f t="shared" si="5"/>
        <v>0</v>
      </c>
      <c r="G35" s="92"/>
      <c r="H35" s="22" t="s">
        <v>99</v>
      </c>
      <c r="I35" s="74">
        <v>1064</v>
      </c>
      <c r="J35" s="57" t="s">
        <v>56</v>
      </c>
      <c r="K35" s="60" t="s">
        <v>101</v>
      </c>
      <c r="L35" s="61"/>
      <c r="M35" s="62"/>
      <c r="N35" s="62"/>
      <c r="O35" s="61"/>
    </row>
    <row r="36" s="2" customFormat="1" ht="18" customHeight="1" spans="1:15">
      <c r="A36" s="33"/>
      <c r="B36" s="89">
        <f t="shared" si="4"/>
        <v>0</v>
      </c>
      <c r="C36" s="35"/>
      <c r="D36" s="36"/>
      <c r="E36" s="38"/>
      <c r="F36" s="17">
        <f t="shared" si="5"/>
        <v>0</v>
      </c>
      <c r="G36" s="92"/>
      <c r="H36" s="22" t="s">
        <v>99</v>
      </c>
      <c r="I36" s="74">
        <v>280000</v>
      </c>
      <c r="J36" s="57" t="s">
        <v>54</v>
      </c>
      <c r="K36" s="60" t="s">
        <v>55</v>
      </c>
      <c r="L36" s="61"/>
      <c r="M36" s="62"/>
      <c r="N36" s="62"/>
      <c r="O36" s="61"/>
    </row>
    <row r="37" s="2" customFormat="1" ht="18" customHeight="1" spans="1:15">
      <c r="A37" s="33"/>
      <c r="B37" s="89">
        <f t="shared" si="4"/>
        <v>25000</v>
      </c>
      <c r="C37" s="35"/>
      <c r="D37" s="36"/>
      <c r="E37" s="38"/>
      <c r="F37" s="17">
        <f t="shared" si="5"/>
        <v>0</v>
      </c>
      <c r="G37" s="92">
        <f>I37</f>
        <v>25000</v>
      </c>
      <c r="H37" s="22" t="s">
        <v>99</v>
      </c>
      <c r="I37" s="74">
        <v>25000</v>
      </c>
      <c r="J37" s="57" t="s">
        <v>56</v>
      </c>
      <c r="K37" s="60" t="s">
        <v>59</v>
      </c>
      <c r="L37" s="61"/>
      <c r="M37" s="62"/>
      <c r="N37" s="62"/>
      <c r="O37" s="61"/>
    </row>
    <row r="38" s="2" customFormat="1" ht="18" customHeight="1" spans="1:15">
      <c r="A38" s="33"/>
      <c r="B38" s="17">
        <f t="shared" ref="B36:B50" si="6">ROUND(G38/(1+E38),2)</f>
        <v>0</v>
      </c>
      <c r="C38" s="35"/>
      <c r="D38" s="36"/>
      <c r="E38" s="38"/>
      <c r="F38" s="17">
        <f t="shared" si="5"/>
        <v>0</v>
      </c>
      <c r="G38" s="92"/>
      <c r="H38" s="22" t="s">
        <v>53</v>
      </c>
      <c r="I38" s="74">
        <v>41000</v>
      </c>
      <c r="J38" s="57" t="s">
        <v>54</v>
      </c>
      <c r="K38" s="60" t="s">
        <v>55</v>
      </c>
      <c r="L38" s="61"/>
      <c r="M38" s="62"/>
      <c r="N38" s="62"/>
      <c r="O38" s="61"/>
    </row>
    <row r="39" s="2" customFormat="1" ht="18" customHeight="1" spans="1:15">
      <c r="A39" s="33"/>
      <c r="B39" s="17">
        <f t="shared" si="6"/>
        <v>0</v>
      </c>
      <c r="C39" s="35"/>
      <c r="D39" s="36"/>
      <c r="E39" s="38"/>
      <c r="F39" s="17">
        <f t="shared" si="5"/>
        <v>0</v>
      </c>
      <c r="G39" s="92"/>
      <c r="H39" s="22" t="s">
        <v>53</v>
      </c>
      <c r="I39" s="74">
        <v>2510</v>
      </c>
      <c r="J39" s="57" t="s">
        <v>56</v>
      </c>
      <c r="K39" s="60" t="s">
        <v>57</v>
      </c>
      <c r="L39" s="61"/>
      <c r="M39" s="62"/>
      <c r="N39" s="62"/>
      <c r="O39" s="61"/>
    </row>
    <row r="40" s="2" customFormat="1" ht="18" customHeight="1" spans="1:15">
      <c r="A40" s="33"/>
      <c r="B40" s="17">
        <f t="shared" si="6"/>
        <v>0</v>
      </c>
      <c r="C40" s="35"/>
      <c r="D40" s="36"/>
      <c r="E40" s="38"/>
      <c r="F40" s="17">
        <f t="shared" ref="F36:F50" si="7">ROUND(G40/(1+E40)*E40,2)</f>
        <v>0</v>
      </c>
      <c r="G40" s="92"/>
      <c r="H40" s="22" t="s">
        <v>53</v>
      </c>
      <c r="I40" s="74">
        <v>400</v>
      </c>
      <c r="J40" s="57" t="s">
        <v>56</v>
      </c>
      <c r="K40" s="60" t="s">
        <v>58</v>
      </c>
      <c r="L40" s="61"/>
      <c r="M40" s="62"/>
      <c r="N40" s="62"/>
      <c r="O40" s="61"/>
    </row>
    <row r="41" s="2" customFormat="1" ht="18" customHeight="1" spans="1:15">
      <c r="A41" s="33"/>
      <c r="B41" s="17">
        <f t="shared" si="6"/>
        <v>59000</v>
      </c>
      <c r="C41" s="35"/>
      <c r="D41" s="36"/>
      <c r="E41" s="38"/>
      <c r="F41" s="17">
        <f t="shared" si="7"/>
        <v>0</v>
      </c>
      <c r="G41" s="92">
        <f>59000</f>
        <v>59000</v>
      </c>
      <c r="H41" s="22" t="s">
        <v>53</v>
      </c>
      <c r="I41" s="74">
        <f>G41</f>
        <v>59000</v>
      </c>
      <c r="J41" s="57" t="s">
        <v>56</v>
      </c>
      <c r="K41" s="60" t="s">
        <v>59</v>
      </c>
      <c r="L41" s="61"/>
      <c r="M41" s="62"/>
      <c r="N41" s="62"/>
      <c r="O41" s="61"/>
    </row>
    <row r="42" s="2" customFormat="1" ht="18" customHeight="1" spans="1:15">
      <c r="A42" s="33"/>
      <c r="B42" s="17">
        <f t="shared" si="6"/>
        <v>0</v>
      </c>
      <c r="C42" s="35"/>
      <c r="D42" s="36"/>
      <c r="E42" s="38"/>
      <c r="F42" s="17">
        <f t="shared" si="7"/>
        <v>0</v>
      </c>
      <c r="G42" s="92"/>
      <c r="H42" s="22" t="s">
        <v>60</v>
      </c>
      <c r="I42" s="74">
        <v>511</v>
      </c>
      <c r="J42" s="57" t="s">
        <v>56</v>
      </c>
      <c r="K42" s="60" t="s">
        <v>57</v>
      </c>
      <c r="L42" s="61"/>
      <c r="M42" s="62"/>
      <c r="N42" s="62"/>
      <c r="O42" s="61"/>
    </row>
    <row r="43" s="2" customFormat="1" ht="18" customHeight="1" spans="1:18">
      <c r="A43" s="33"/>
      <c r="B43" s="17">
        <f t="shared" si="6"/>
        <v>0</v>
      </c>
      <c r="C43" s="35"/>
      <c r="D43" s="36"/>
      <c r="E43" s="37"/>
      <c r="F43" s="17">
        <f t="shared" si="7"/>
        <v>0</v>
      </c>
      <c r="G43" s="92"/>
      <c r="H43" s="22" t="s">
        <v>60</v>
      </c>
      <c r="I43" s="74">
        <v>21807</v>
      </c>
      <c r="J43" s="57" t="s">
        <v>54</v>
      </c>
      <c r="K43" s="60" t="s">
        <v>55</v>
      </c>
      <c r="L43" s="61"/>
      <c r="M43" s="62"/>
      <c r="N43" s="62"/>
      <c r="O43" s="61"/>
      <c r="R43" s="2" t="s">
        <v>102</v>
      </c>
    </row>
    <row r="44" s="2" customFormat="1" ht="18" customHeight="1" spans="1:15">
      <c r="A44" s="33"/>
      <c r="B44" s="17">
        <f t="shared" si="6"/>
        <v>12000</v>
      </c>
      <c r="C44" s="35"/>
      <c r="D44" s="36"/>
      <c r="E44" s="37"/>
      <c r="F44" s="17">
        <f t="shared" si="7"/>
        <v>0</v>
      </c>
      <c r="G44" s="92">
        <v>12000</v>
      </c>
      <c r="H44" s="22" t="s">
        <v>60</v>
      </c>
      <c r="I44" s="74">
        <f>G44</f>
        <v>12000</v>
      </c>
      <c r="J44" s="57" t="s">
        <v>56</v>
      </c>
      <c r="K44" s="60" t="s">
        <v>59</v>
      </c>
      <c r="L44" s="61"/>
      <c r="M44" s="62"/>
      <c r="N44" s="62"/>
      <c r="O44" s="61"/>
    </row>
    <row r="45" s="2" customFormat="1" ht="18" customHeight="1" spans="1:15">
      <c r="A45" s="33"/>
      <c r="B45" s="17">
        <f t="shared" si="6"/>
        <v>0</v>
      </c>
      <c r="C45" s="35"/>
      <c r="D45" s="36"/>
      <c r="E45" s="37"/>
      <c r="F45" s="17">
        <f t="shared" si="7"/>
        <v>0</v>
      </c>
      <c r="G45" s="92"/>
      <c r="H45" s="22" t="s">
        <v>61</v>
      </c>
      <c r="I45" s="74">
        <v>-70060</v>
      </c>
      <c r="J45" s="57" t="s">
        <v>62</v>
      </c>
      <c r="K45" s="60" t="s">
        <v>63</v>
      </c>
      <c r="L45" s="61"/>
      <c r="M45" s="62"/>
      <c r="N45" s="62"/>
      <c r="O45" s="61"/>
    </row>
    <row r="46" s="2" customFormat="1" ht="18" customHeight="1" spans="1:15">
      <c r="A46" s="33"/>
      <c r="B46" s="17">
        <f t="shared" si="6"/>
        <v>0</v>
      </c>
      <c r="C46" s="35"/>
      <c r="D46" s="36"/>
      <c r="E46" s="37"/>
      <c r="F46" s="17">
        <f t="shared" si="7"/>
        <v>0</v>
      </c>
      <c r="G46" s="92"/>
      <c r="H46" s="22" t="s">
        <v>61</v>
      </c>
      <c r="I46" s="74">
        <v>70060</v>
      </c>
      <c r="J46" s="57" t="s">
        <v>54</v>
      </c>
      <c r="K46" s="60" t="s">
        <v>55</v>
      </c>
      <c r="L46" s="61"/>
      <c r="M46" s="62"/>
      <c r="N46" s="62"/>
      <c r="O46" s="61"/>
    </row>
    <row r="47" s="2" customFormat="1" ht="18" customHeight="1" spans="1:15">
      <c r="A47" s="33"/>
      <c r="B47" s="17">
        <f t="shared" si="6"/>
        <v>0</v>
      </c>
      <c r="C47" s="35"/>
      <c r="D47" s="36"/>
      <c r="E47" s="37"/>
      <c r="F47" s="17">
        <f t="shared" si="7"/>
        <v>0</v>
      </c>
      <c r="G47" s="92"/>
      <c r="H47" s="22" t="s">
        <v>61</v>
      </c>
      <c r="I47" s="74">
        <v>677</v>
      </c>
      <c r="J47" s="57" t="s">
        <v>56</v>
      </c>
      <c r="K47" s="60" t="s">
        <v>57</v>
      </c>
      <c r="L47" s="61"/>
      <c r="M47" s="62"/>
      <c r="N47" s="62"/>
      <c r="O47" s="61"/>
    </row>
    <row r="48" s="2" customFormat="1" ht="18" customHeight="1" spans="1:15">
      <c r="A48" s="33"/>
      <c r="B48" s="17">
        <f t="shared" si="6"/>
        <v>0</v>
      </c>
      <c r="C48" s="35"/>
      <c r="D48" s="36"/>
      <c r="E48" s="37"/>
      <c r="F48" s="17">
        <f t="shared" si="7"/>
        <v>0</v>
      </c>
      <c r="G48" s="92"/>
      <c r="H48" s="22" t="s">
        <v>61</v>
      </c>
      <c r="I48" s="74">
        <v>8000</v>
      </c>
      <c r="J48" s="57" t="s">
        <v>64</v>
      </c>
      <c r="K48" s="60" t="s">
        <v>65</v>
      </c>
      <c r="L48" s="61"/>
      <c r="M48" s="62"/>
      <c r="N48" s="62"/>
      <c r="O48" s="61"/>
    </row>
    <row r="49" s="2" customFormat="1" ht="18" customHeight="1" spans="1:15">
      <c r="A49" s="33"/>
      <c r="B49" s="17">
        <f t="shared" si="6"/>
        <v>0</v>
      </c>
      <c r="C49" s="35"/>
      <c r="D49" s="36"/>
      <c r="E49" s="37"/>
      <c r="F49" s="17">
        <f t="shared" si="7"/>
        <v>0</v>
      </c>
      <c r="G49" s="92"/>
      <c r="H49" s="22" t="s">
        <v>61</v>
      </c>
      <c r="I49" s="74">
        <v>500</v>
      </c>
      <c r="J49" s="57" t="s">
        <v>56</v>
      </c>
      <c r="K49" s="60" t="s">
        <v>66</v>
      </c>
      <c r="L49" s="61"/>
      <c r="M49" s="62"/>
      <c r="N49" s="62"/>
      <c r="O49" s="61"/>
    </row>
    <row r="50" s="2" customFormat="1" ht="18" customHeight="1" spans="1:15">
      <c r="A50" s="33"/>
      <c r="B50" s="17">
        <f t="shared" si="6"/>
        <v>16000</v>
      </c>
      <c r="C50" s="35"/>
      <c r="D50" s="36"/>
      <c r="E50" s="37"/>
      <c r="F50" s="17">
        <f t="shared" si="7"/>
        <v>0</v>
      </c>
      <c r="G50" s="92">
        <f>16000</f>
        <v>16000</v>
      </c>
      <c r="H50" s="22" t="s">
        <v>61</v>
      </c>
      <c r="I50" s="74">
        <f>G50</f>
        <v>16000</v>
      </c>
      <c r="J50" s="57" t="s">
        <v>56</v>
      </c>
      <c r="K50" s="60" t="s">
        <v>59</v>
      </c>
      <c r="L50" s="61"/>
      <c r="M50" s="62"/>
      <c r="N50" s="62"/>
      <c r="O50" s="61"/>
    </row>
    <row r="51" s="1" customFormat="1" ht="18" customHeight="1" spans="1:15">
      <c r="A51" s="29" t="s">
        <v>22</v>
      </c>
      <c r="B51" s="75">
        <f t="shared" ref="B51:G51" si="8">SUM(B15:B50)</f>
        <v>4941268.69</v>
      </c>
      <c r="C51" s="29"/>
      <c r="D51" s="48"/>
      <c r="E51" s="48"/>
      <c r="F51" s="76">
        <f t="shared" si="8"/>
        <v>422013.91</v>
      </c>
      <c r="G51" s="94">
        <f t="shared" si="8"/>
        <v>5363282.6</v>
      </c>
      <c r="H51" s="31"/>
      <c r="I51" s="78">
        <f>SUM(I15:I50)</f>
        <v>5418174.6</v>
      </c>
      <c r="J51" s="68"/>
      <c r="K51" s="48"/>
      <c r="L51" s="58"/>
      <c r="M51" s="57"/>
      <c r="N51" s="57"/>
      <c r="O51" s="58"/>
    </row>
    <row r="52" s="1" customFormat="1" ht="18" customHeight="1" spans="1:14">
      <c r="A52" s="51" t="s">
        <v>67</v>
      </c>
      <c r="B52" s="53">
        <f>B12-B51</f>
        <v>189673.762043371</v>
      </c>
      <c r="C52" s="51"/>
      <c r="D52" s="52"/>
      <c r="E52" s="52"/>
      <c r="F52" s="53"/>
      <c r="G52" s="53">
        <f>G12-G51</f>
        <v>236717.4</v>
      </c>
      <c r="H52" s="21" t="s">
        <v>68</v>
      </c>
      <c r="I52" s="78">
        <f>I12-I51</f>
        <v>181825.4</v>
      </c>
      <c r="K52" s="69"/>
      <c r="M52" s="70"/>
      <c r="N52" s="70"/>
    </row>
    <row r="53" s="4" customFormat="1" ht="18" customHeight="1" spans="1:15">
      <c r="A53" s="7" t="s">
        <v>69</v>
      </c>
      <c r="B53" s="6"/>
      <c r="C53" s="7"/>
      <c r="F53" s="6"/>
      <c r="G53" s="6"/>
      <c r="I53" s="6"/>
      <c r="J53" s="5"/>
      <c r="K53" s="1"/>
      <c r="L53" s="1"/>
      <c r="M53" s="1"/>
      <c r="N53" s="1"/>
      <c r="O53" s="1"/>
    </row>
    <row r="54" s="1" customFormat="1" ht="18" customHeight="1" spans="1:10">
      <c r="A54" s="21" t="s">
        <v>70</v>
      </c>
      <c r="B54" s="20" t="s">
        <v>71</v>
      </c>
      <c r="C54" s="58"/>
      <c r="D54" s="21" t="s">
        <v>70</v>
      </c>
      <c r="E54" s="19" t="s">
        <v>16</v>
      </c>
      <c r="F54" s="20" t="s">
        <v>71</v>
      </c>
      <c r="G54" s="20" t="s">
        <v>72</v>
      </c>
      <c r="H54" s="20" t="s">
        <v>74</v>
      </c>
      <c r="I54" s="20" t="s">
        <v>75</v>
      </c>
      <c r="J54" s="20" t="s">
        <v>76</v>
      </c>
    </row>
    <row r="55" s="1" customFormat="1" ht="18" customHeight="1" spans="1:10">
      <c r="A55" s="58" t="s">
        <v>77</v>
      </c>
      <c r="B55" s="17">
        <f>(B12-B51)*0.25</f>
        <v>47418.4405108427</v>
      </c>
      <c r="C55" s="58"/>
      <c r="D55" s="10" t="s">
        <v>78</v>
      </c>
      <c r="E55" s="57" t="s">
        <v>79</v>
      </c>
      <c r="F55" s="71">
        <f>F12-F51</f>
        <v>-55575.211084237</v>
      </c>
      <c r="G55" s="71">
        <v>0</v>
      </c>
      <c r="H55" s="71">
        <v>0</v>
      </c>
      <c r="I55" s="71">
        <v>0</v>
      </c>
      <c r="J55" s="71">
        <v>0</v>
      </c>
    </row>
    <row r="56" s="1" customFormat="1" ht="18" customHeight="1" spans="1:10">
      <c r="A56" s="58" t="s">
        <v>80</v>
      </c>
      <c r="B56" s="72"/>
      <c r="C56" s="58"/>
      <c r="D56" s="73" t="s">
        <v>81</v>
      </c>
      <c r="E56" s="14">
        <v>0.05</v>
      </c>
      <c r="F56" s="74">
        <f>F55*E56</f>
        <v>-2778.76055421185</v>
      </c>
      <c r="G56" s="74">
        <v>0</v>
      </c>
      <c r="H56" s="74">
        <v>0</v>
      </c>
      <c r="I56" s="74">
        <v>0</v>
      </c>
      <c r="J56" s="74">
        <v>0</v>
      </c>
    </row>
    <row r="57" s="1" customFormat="1" ht="18" customHeight="1" spans="1:10">
      <c r="A57" s="58" t="s">
        <v>82</v>
      </c>
      <c r="B57" s="72"/>
      <c r="C57" s="58"/>
      <c r="D57" s="73" t="s">
        <v>83</v>
      </c>
      <c r="E57" s="14">
        <v>0.03</v>
      </c>
      <c r="F57" s="74">
        <f>F55*E57</f>
        <v>-1667.25633252711</v>
      </c>
      <c r="G57" s="74">
        <v>0</v>
      </c>
      <c r="H57" s="74">
        <v>0</v>
      </c>
      <c r="I57" s="74">
        <v>0</v>
      </c>
      <c r="J57" s="74">
        <v>0</v>
      </c>
    </row>
    <row r="58" s="1" customFormat="1" ht="18" customHeight="1" spans="1:10">
      <c r="A58" s="58"/>
      <c r="B58" s="74"/>
      <c r="C58" s="58"/>
      <c r="D58" s="73" t="s">
        <v>84</v>
      </c>
      <c r="E58" s="14">
        <v>0.02</v>
      </c>
      <c r="F58" s="74">
        <f>F55*E58</f>
        <v>-1111.50422168474</v>
      </c>
      <c r="G58" s="74">
        <v>0</v>
      </c>
      <c r="H58" s="74">
        <v>0</v>
      </c>
      <c r="I58" s="74">
        <v>0</v>
      </c>
      <c r="J58" s="74">
        <v>0</v>
      </c>
    </row>
    <row r="59" s="1" customFormat="1" ht="18" customHeight="1" spans="1:10">
      <c r="A59" s="27" t="s">
        <v>85</v>
      </c>
      <c r="B59" s="75">
        <f>SUM(B55:B58)</f>
        <v>47418.4405108427</v>
      </c>
      <c r="C59" s="58"/>
      <c r="D59" s="27" t="s">
        <v>85</v>
      </c>
      <c r="E59" s="27"/>
      <c r="F59" s="76">
        <f>SUM(F55:F58)</f>
        <v>-61132.7321926607</v>
      </c>
      <c r="G59" s="74">
        <v>0</v>
      </c>
      <c r="H59" s="74">
        <v>0</v>
      </c>
      <c r="I59" s="74">
        <v>0</v>
      </c>
      <c r="J59" s="74">
        <v>0</v>
      </c>
    </row>
    <row r="60" s="1" customFormat="1" ht="18" customHeight="1" spans="1:10">
      <c r="A60" s="7"/>
      <c r="B60" s="6"/>
      <c r="C60" s="7"/>
      <c r="D60" s="12" t="s">
        <v>80</v>
      </c>
      <c r="E60" s="77">
        <v>0.0003</v>
      </c>
      <c r="F60" s="74">
        <f>G12*E60</f>
        <v>1680</v>
      </c>
      <c r="G60" s="74">
        <f>G8*E60</f>
        <v>240</v>
      </c>
      <c r="H60" s="74">
        <f>G9*E60</f>
        <v>180</v>
      </c>
      <c r="I60" s="74">
        <f>G10*E60</f>
        <v>885</v>
      </c>
      <c r="J60" s="74">
        <f>G11*E60</f>
        <v>375</v>
      </c>
    </row>
    <row r="61" s="1" customFormat="1" ht="18" customHeight="1" spans="1:10">
      <c r="A61" s="7"/>
      <c r="B61" s="6"/>
      <c r="C61" s="7"/>
      <c r="D61" s="12" t="s">
        <v>82</v>
      </c>
      <c r="E61" s="77">
        <v>0.0006</v>
      </c>
      <c r="F61" s="74">
        <f>B12*E61</f>
        <v>3078.56547122602</v>
      </c>
      <c r="G61" s="74">
        <f>B8*E61</f>
        <v>436.363636363636</v>
      </c>
      <c r="H61" s="74">
        <f>B9*E61</f>
        <v>330.275229357798</v>
      </c>
      <c r="I61" s="74">
        <f>B10*E61</f>
        <v>1623.85321100917</v>
      </c>
      <c r="J61" s="74">
        <f>B11*E61</f>
        <v>688.073394495414</v>
      </c>
    </row>
    <row r="62" s="1" customFormat="1" ht="18" customHeight="1" spans="1:10">
      <c r="A62" s="7"/>
      <c r="B62" s="6"/>
      <c r="C62" s="7"/>
      <c r="D62" s="29" t="s">
        <v>22</v>
      </c>
      <c r="E62" s="29"/>
      <c r="F62" s="78">
        <f>F59+F60+F61</f>
        <v>-56374.1667214346</v>
      </c>
      <c r="G62" s="78">
        <f>G59+G60+G61</f>
        <v>676.363636363636</v>
      </c>
      <c r="H62" s="78">
        <f t="shared" ref="H62:J62" si="9">H60+H61</f>
        <v>510.275229357798</v>
      </c>
      <c r="I62" s="78">
        <f t="shared" si="9"/>
        <v>2508.85321100917</v>
      </c>
      <c r="J62" s="78">
        <f t="shared" si="9"/>
        <v>1063.07339449541</v>
      </c>
    </row>
    <row r="63" s="1" customFormat="1" ht="18" customHeight="1" spans="1:10">
      <c r="A63" s="7"/>
      <c r="B63" s="6"/>
      <c r="C63" s="7"/>
      <c r="D63" s="4"/>
      <c r="E63" s="4"/>
      <c r="F63" s="6"/>
      <c r="G63" s="6"/>
      <c r="H63" s="79"/>
      <c r="I63" s="6"/>
      <c r="J63" s="5"/>
    </row>
    <row r="64" s="5" customFormat="1" ht="26" customHeight="1" spans="1:15">
      <c r="A64" s="7"/>
      <c r="B64" s="6"/>
      <c r="C64" s="7"/>
      <c r="D64" s="4"/>
      <c r="E64" s="4"/>
      <c r="F64" s="6"/>
      <c r="G64" s="6"/>
      <c r="H64" s="80"/>
      <c r="I64" s="6"/>
      <c r="K64" s="1"/>
      <c r="L64" s="1"/>
      <c r="M64" s="1"/>
      <c r="N64" s="1"/>
      <c r="O64" s="1"/>
    </row>
    <row r="65" s="6" customFormat="1" ht="26" customHeight="1" spans="1:15">
      <c r="A65" s="7"/>
      <c r="C65" s="7"/>
      <c r="D65" s="4"/>
      <c r="E65" s="4"/>
      <c r="H65" s="51"/>
      <c r="J65" s="5"/>
      <c r="K65" s="1"/>
      <c r="L65" s="1"/>
      <c r="M65" s="1"/>
      <c r="N65" s="1"/>
      <c r="O65" s="1"/>
    </row>
    <row r="66" s="4" customFormat="1" ht="33" customHeight="1" spans="1:15">
      <c r="A66" s="7"/>
      <c r="B66" s="6"/>
      <c r="C66" s="7"/>
      <c r="D66" s="15" t="s">
        <v>103</v>
      </c>
      <c r="E66" s="81" t="s">
        <v>70</v>
      </c>
      <c r="F66" s="82" t="s">
        <v>16</v>
      </c>
      <c r="G66" s="58"/>
      <c r="H66" s="82" t="s">
        <v>104</v>
      </c>
      <c r="M66" s="1"/>
      <c r="N66" s="1"/>
      <c r="O66" s="1"/>
    </row>
    <row r="67" s="4" customFormat="1" ht="33" customHeight="1" spans="1:15">
      <c r="A67" s="7"/>
      <c r="B67" s="6"/>
      <c r="C67" s="7"/>
      <c r="D67" s="15"/>
      <c r="E67" s="68" t="s">
        <v>77</v>
      </c>
      <c r="F67" s="70">
        <v>0.25</v>
      </c>
      <c r="G67" s="58"/>
      <c r="H67" s="58">
        <f>B52*F67-I38-I43</f>
        <v>-15388.5594891573</v>
      </c>
      <c r="M67" s="1"/>
      <c r="N67" s="1"/>
      <c r="O67" s="1"/>
    </row>
    <row r="68" s="1" customFormat="1" ht="33" customHeight="1" spans="1:8">
      <c r="A68" s="7"/>
      <c r="B68" s="6"/>
      <c r="C68" s="7"/>
      <c r="D68" s="15" t="s">
        <v>89</v>
      </c>
      <c r="E68" s="81" t="s">
        <v>70</v>
      </c>
      <c r="F68" s="19" t="s">
        <v>16</v>
      </c>
      <c r="G68" s="83" t="s">
        <v>105</v>
      </c>
      <c r="H68" s="83" t="s">
        <v>90</v>
      </c>
    </row>
    <row r="69" s="1" customFormat="1" ht="33" customHeight="1" spans="1:8">
      <c r="A69" s="7"/>
      <c r="B69" s="6"/>
      <c r="C69" s="7"/>
      <c r="D69" s="15"/>
      <c r="E69" s="84" t="s">
        <v>78</v>
      </c>
      <c r="F69" s="57" t="s">
        <v>79</v>
      </c>
      <c r="G69" s="71">
        <v>27748.4082735613</v>
      </c>
      <c r="H69" s="71">
        <v>35883.0589157632</v>
      </c>
    </row>
    <row r="70" s="1" customFormat="1" ht="33" customHeight="1" spans="1:8">
      <c r="A70" s="7"/>
      <c r="B70" s="6"/>
      <c r="C70" s="7"/>
      <c r="D70" s="15"/>
      <c r="E70" s="85" t="s">
        <v>81</v>
      </c>
      <c r="F70" s="14">
        <v>0.05</v>
      </c>
      <c r="G70" s="74">
        <v>1387.42041367806</v>
      </c>
      <c r="H70" s="74">
        <v>1794.15294578816</v>
      </c>
    </row>
    <row r="71" s="1" customFormat="1" ht="33" customHeight="1" spans="1:8">
      <c r="A71" s="7"/>
      <c r="B71" s="6"/>
      <c r="C71" s="7"/>
      <c r="D71" s="15"/>
      <c r="E71" s="85" t="s">
        <v>83</v>
      </c>
      <c r="F71" s="14">
        <v>0.03</v>
      </c>
      <c r="G71" s="74">
        <v>832.452248206839</v>
      </c>
      <c r="H71" s="74">
        <v>1076.49176747289</v>
      </c>
    </row>
    <row r="72" s="1" customFormat="1" ht="33" customHeight="1" spans="1:8">
      <c r="A72" s="7"/>
      <c r="B72" s="6"/>
      <c r="C72" s="7"/>
      <c r="D72" s="15"/>
      <c r="E72" s="85" t="s">
        <v>84</v>
      </c>
      <c r="F72" s="14">
        <v>0.02</v>
      </c>
      <c r="G72" s="74">
        <v>554.968165471226</v>
      </c>
      <c r="H72" s="74">
        <v>717.661178315263</v>
      </c>
    </row>
    <row r="73" s="1" customFormat="1" ht="33" customHeight="1" spans="1:8">
      <c r="A73" s="7"/>
      <c r="B73" s="6"/>
      <c r="C73" s="7"/>
      <c r="D73" s="15"/>
      <c r="E73" s="86" t="s">
        <v>85</v>
      </c>
      <c r="F73" s="27"/>
      <c r="G73" s="87">
        <v>30523.2491009174</v>
      </c>
      <c r="H73" s="76">
        <v>39471.3648073395</v>
      </c>
    </row>
    <row r="74" s="4" customFormat="1" ht="42" customHeight="1" spans="1:15">
      <c r="A74" s="7"/>
      <c r="B74" s="6"/>
      <c r="C74" s="7"/>
      <c r="F74" s="6"/>
      <c r="G74" s="6"/>
      <c r="I74" s="6"/>
      <c r="J74" s="5"/>
      <c r="K74" s="1"/>
      <c r="L74" s="1"/>
      <c r="M74" s="1"/>
      <c r="N74" s="1"/>
      <c r="O74" s="1"/>
    </row>
    <row r="75" s="4" customFormat="1" spans="1:15">
      <c r="A75" s="7"/>
      <c r="B75" s="6"/>
      <c r="C75" s="7"/>
      <c r="F75" s="6"/>
      <c r="G75" s="6"/>
      <c r="I75" s="6"/>
      <c r="J75" s="5"/>
      <c r="K75" s="1"/>
      <c r="L75" s="1"/>
      <c r="M75" s="1"/>
      <c r="N75" s="1"/>
      <c r="O75" s="1"/>
    </row>
    <row r="76" s="4" customFormat="1" spans="1:15">
      <c r="A76" s="7"/>
      <c r="B76" s="6"/>
      <c r="C76" s="7"/>
      <c r="F76" s="6"/>
      <c r="G76" s="6"/>
      <c r="I76" s="6"/>
      <c r="J76" s="5"/>
      <c r="K76" s="1"/>
      <c r="L76" s="1"/>
      <c r="M76" s="1"/>
      <c r="N76" s="1"/>
      <c r="O76" s="1"/>
    </row>
    <row r="77" s="4" customFormat="1" spans="1:15">
      <c r="A77" s="7"/>
      <c r="B77" s="6"/>
      <c r="C77" s="7"/>
      <c r="F77" s="6"/>
      <c r="G77" s="6"/>
      <c r="I77" s="6"/>
      <c r="J77" s="5"/>
      <c r="K77" s="1"/>
      <c r="L77" s="1"/>
      <c r="M77" s="1"/>
      <c r="N77" s="1"/>
      <c r="O77" s="1"/>
    </row>
    <row r="78" s="4" customFormat="1" spans="1:15">
      <c r="A78" s="7"/>
      <c r="B78" s="6"/>
      <c r="C78" s="7"/>
      <c r="F78" s="6"/>
      <c r="G78" s="6"/>
      <c r="I78" s="6"/>
      <c r="J78" s="5"/>
      <c r="K78" s="1"/>
      <c r="L78" s="1"/>
      <c r="M78" s="1"/>
      <c r="N78" s="1"/>
      <c r="O78" s="1"/>
    </row>
    <row r="79" s="4" customFormat="1" spans="1:15">
      <c r="A79" s="7"/>
      <c r="B79" s="6"/>
      <c r="C79" s="7"/>
      <c r="F79" s="6"/>
      <c r="G79" s="6"/>
      <c r="I79" s="6"/>
      <c r="J79" s="5"/>
      <c r="K79" s="1"/>
      <c r="L79" s="1"/>
      <c r="M79" s="1"/>
      <c r="N79" s="1"/>
      <c r="O79" s="1"/>
    </row>
    <row r="80" s="4" customFormat="1" spans="1:15">
      <c r="A80" s="7"/>
      <c r="B80" s="6"/>
      <c r="C80" s="7"/>
      <c r="F80" s="6"/>
      <c r="G80" s="6"/>
      <c r="I80" s="6"/>
      <c r="J80" s="5"/>
      <c r="K80" s="1"/>
      <c r="L80" s="1"/>
      <c r="M80" s="1"/>
      <c r="N80" s="1"/>
      <c r="O80" s="1"/>
    </row>
    <row r="81" s="4" customFormat="1" spans="1:15">
      <c r="A81" s="7"/>
      <c r="B81" s="6"/>
      <c r="C81" s="7"/>
      <c r="F81" s="6"/>
      <c r="G81" s="6"/>
      <c r="I81" s="6"/>
      <c r="J81" s="5"/>
      <c r="K81" s="1"/>
      <c r="L81" s="1"/>
      <c r="M81" s="1"/>
      <c r="N81" s="1"/>
      <c r="O81" s="1"/>
    </row>
    <row r="82" s="4" customFormat="1" spans="1:15">
      <c r="A82" s="7"/>
      <c r="B82" s="6"/>
      <c r="C82" s="7"/>
      <c r="F82" s="6"/>
      <c r="G82" s="6"/>
      <c r="I82" s="6"/>
      <c r="J82" s="5"/>
      <c r="K82" s="1"/>
      <c r="L82" s="1"/>
      <c r="M82" s="1"/>
      <c r="N82" s="1"/>
      <c r="O82" s="1"/>
    </row>
  </sheetData>
  <mergeCells count="10">
    <mergeCell ref="A1:J1"/>
    <mergeCell ref="H2:J2"/>
    <mergeCell ref="C5:D5"/>
    <mergeCell ref="E5:F5"/>
    <mergeCell ref="H5:J5"/>
    <mergeCell ref="A5:A6"/>
    <mergeCell ref="B5:B6"/>
    <mergeCell ref="D66:D67"/>
    <mergeCell ref="D68:D73"/>
    <mergeCell ref="G5:G6"/>
  </mergeCells>
  <pageMargins left="0.699305555555556" right="0.699305555555556" top="0.75" bottom="0.75" header="0.3" footer="0.3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G19" sqref="G19"/>
    </sheetView>
  </sheetViews>
  <sheetFormatPr defaultColWidth="9" defaultRowHeight="13.5"/>
  <cols>
    <col min="2" max="2" width="9.625"/>
    <col min="7" max="7" width="18.375" customWidth="1"/>
    <col min="8" max="8" width="34.5" customWidth="1"/>
    <col min="9" max="12" width="18.375" customWidth="1"/>
  </cols>
  <sheetData>
    <row r="1" spans="1:12">
      <c r="A1" s="33">
        <v>43831</v>
      </c>
      <c r="B1" s="17">
        <f>ROUND(G1/(1+E1),2)</f>
        <v>1415929.2</v>
      </c>
      <c r="C1" s="35"/>
      <c r="D1" s="36" t="s">
        <v>41</v>
      </c>
      <c r="E1" s="88">
        <v>0.13</v>
      </c>
      <c r="F1" s="89">
        <f>ROUND(G1/(1+E1)*E1,2)</f>
        <v>184070.8</v>
      </c>
      <c r="G1" s="89">
        <f>110000*6+53600+110800*8</f>
        <v>1600000</v>
      </c>
      <c r="H1" s="60" t="s">
        <v>39</v>
      </c>
      <c r="I1" s="61" t="s">
        <v>51</v>
      </c>
      <c r="J1" s="62" t="s">
        <v>91</v>
      </c>
      <c r="K1" s="62"/>
      <c r="L1" s="64" t="s">
        <v>52</v>
      </c>
    </row>
    <row r="2" s="3" customFormat="1" ht="18" customHeight="1" spans="1:12">
      <c r="A2" s="33">
        <v>44002</v>
      </c>
      <c r="B2" s="17">
        <f>ROUND(G2/(1+E2),2)</f>
        <v>371150.44</v>
      </c>
      <c r="C2" s="35"/>
      <c r="D2" s="36" t="s">
        <v>41</v>
      </c>
      <c r="E2" s="88">
        <v>0.13</v>
      </c>
      <c r="F2" s="89">
        <f>ROUND(G2/(1+E2)*E2,2)</f>
        <v>48249.56</v>
      </c>
      <c r="G2" s="89">
        <f>104850*4</f>
        <v>419400</v>
      </c>
      <c r="H2" s="60" t="s">
        <v>39</v>
      </c>
      <c r="I2" s="61" t="s">
        <v>92</v>
      </c>
      <c r="J2" s="62" t="s">
        <v>93</v>
      </c>
      <c r="K2" s="62"/>
      <c r="L2" s="64" t="s">
        <v>52</v>
      </c>
    </row>
    <row r="3" s="3" customFormat="1" ht="18" customHeight="1" spans="1:12">
      <c r="A3" s="33">
        <v>44032</v>
      </c>
      <c r="B3" s="17">
        <f>ROUND(G3/(1+E3),2)</f>
        <v>292566.37</v>
      </c>
      <c r="C3" s="35"/>
      <c r="D3" s="36" t="s">
        <v>41</v>
      </c>
      <c r="E3" s="88">
        <v>0.13</v>
      </c>
      <c r="F3" s="89">
        <f>ROUND(G3/(1+E3)*E3,2)</f>
        <v>38033.63</v>
      </c>
      <c r="G3" s="89">
        <f>110200*3</f>
        <v>330600</v>
      </c>
      <c r="H3" s="60" t="s">
        <v>39</v>
      </c>
      <c r="I3" s="61" t="s">
        <v>94</v>
      </c>
      <c r="J3" s="62" t="s">
        <v>93</v>
      </c>
      <c r="K3" s="62"/>
      <c r="L3" s="64" t="s">
        <v>52</v>
      </c>
    </row>
    <row r="4" s="3" customFormat="1" ht="18" customHeight="1" spans="1:12">
      <c r="A4" s="33">
        <v>43831</v>
      </c>
      <c r="B4" s="17">
        <f>ROUND(G4/(1+E4),2)</f>
        <v>353982.3</v>
      </c>
      <c r="C4" s="35"/>
      <c r="D4" s="36" t="s">
        <v>41</v>
      </c>
      <c r="E4" s="88">
        <v>0.13</v>
      </c>
      <c r="F4" s="89">
        <f>ROUND(G4/(1+E4)*E4,2)</f>
        <v>46017.7</v>
      </c>
      <c r="G4" s="89">
        <v>400000</v>
      </c>
      <c r="H4" s="60" t="s">
        <v>106</v>
      </c>
      <c r="I4" s="61" t="s">
        <v>107</v>
      </c>
      <c r="J4" s="62" t="s">
        <v>108</v>
      </c>
      <c r="K4" s="62"/>
      <c r="L4" s="64" t="s">
        <v>52</v>
      </c>
    </row>
    <row r="5" s="3" customFormat="1" ht="18" customHeight="1" spans="1:12">
      <c r="A5" s="33">
        <v>44002</v>
      </c>
      <c r="B5" s="17">
        <f>ROUND(G5/(1+E5),2)</f>
        <v>1415929.2</v>
      </c>
      <c r="C5" s="35"/>
      <c r="D5" s="36" t="s">
        <v>41</v>
      </c>
      <c r="E5" s="88">
        <v>0.13</v>
      </c>
      <c r="F5" s="89">
        <f>ROUND(G5/(1+E5)*E5,2)</f>
        <v>184070.8</v>
      </c>
      <c r="G5" s="89">
        <v>1600000</v>
      </c>
      <c r="H5" s="60" t="s">
        <v>109</v>
      </c>
      <c r="I5" s="61" t="s">
        <v>110</v>
      </c>
      <c r="J5" s="62"/>
      <c r="K5" s="62"/>
      <c r="L5" s="64" t="s">
        <v>111</v>
      </c>
    </row>
    <row r="19" spans="16:16">
      <c r="P19" t="s">
        <v>102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tabSelected="1" topLeftCell="A40" workbookViewId="0">
      <selection activeCell="G48" sqref="G48:G61"/>
    </sheetView>
  </sheetViews>
  <sheetFormatPr defaultColWidth="9" defaultRowHeight="11.25"/>
  <cols>
    <col min="1" max="1" width="10.75" style="7" customWidth="1"/>
    <col min="2" max="2" width="13.125" style="6" customWidth="1"/>
    <col min="3" max="3" width="6" style="4" customWidth="1"/>
    <col min="4" max="4" width="13.375" style="4" customWidth="1"/>
    <col min="5" max="5" width="6" style="4" customWidth="1"/>
    <col min="6" max="6" width="13.125" style="6" customWidth="1"/>
    <col min="7" max="7" width="14.125" style="6" customWidth="1"/>
    <col min="8" max="8" width="11.125" style="4" customWidth="1"/>
    <col min="9" max="9" width="13.875" style="6" customWidth="1"/>
    <col min="10" max="10" width="12.375" style="5" customWidth="1"/>
    <col min="11" max="11" width="31.5" style="1" customWidth="1"/>
    <col min="12" max="12" width="21.125" style="1" customWidth="1"/>
    <col min="13" max="13" width="13" style="1" customWidth="1"/>
    <col min="14" max="14" width="5.625" style="1" customWidth="1"/>
    <col min="15" max="15" width="9.625" style="1"/>
    <col min="16" max="16" width="9" style="7"/>
    <col min="17" max="17" width="9.625" style="7"/>
    <col min="18" max="16384" width="9" style="7"/>
  </cols>
  <sheetData>
    <row r="1" s="1" customFormat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18"/>
      <c r="L1" s="18"/>
    </row>
    <row r="2" s="1" customFormat="1" ht="18" customHeight="1" spans="1:12">
      <c r="A2" s="10" t="s">
        <v>1</v>
      </c>
      <c r="B2" s="11">
        <v>43096</v>
      </c>
      <c r="C2" s="12" t="s">
        <v>2</v>
      </c>
      <c r="D2" s="13">
        <v>6752106</v>
      </c>
      <c r="E2" s="14" t="s">
        <v>3</v>
      </c>
      <c r="F2" s="12" t="s">
        <v>4</v>
      </c>
      <c r="G2" s="15" t="s">
        <v>5</v>
      </c>
      <c r="H2" s="16" t="s">
        <v>6</v>
      </c>
      <c r="I2" s="54"/>
      <c r="J2" s="55"/>
      <c r="K2" s="18"/>
      <c r="L2" s="18"/>
    </row>
    <row r="3" s="1" customFormat="1" ht="18" customHeight="1" spans="1:12">
      <c r="A3" s="10" t="s">
        <v>7</v>
      </c>
      <c r="B3" s="17"/>
      <c r="C3" s="12" t="s">
        <v>8</v>
      </c>
      <c r="D3" s="12">
        <v>6093430.42</v>
      </c>
      <c r="E3" s="4"/>
      <c r="F3" s="6"/>
      <c r="G3" s="6"/>
      <c r="H3" s="18"/>
      <c r="I3" s="56"/>
      <c r="J3" s="18"/>
      <c r="K3" s="18"/>
      <c r="L3" s="18"/>
    </row>
    <row r="4" s="1" customFormat="1" ht="18" customHeight="1" spans="1:12">
      <c r="A4" s="7" t="s">
        <v>9</v>
      </c>
      <c r="B4" s="6"/>
      <c r="C4" s="4"/>
      <c r="D4" s="4"/>
      <c r="E4" s="4"/>
      <c r="F4" s="6"/>
      <c r="G4" s="6"/>
      <c r="H4" s="18"/>
      <c r="I4" s="56"/>
      <c r="J4" s="18"/>
      <c r="K4" s="18"/>
      <c r="L4" s="18"/>
    </row>
    <row r="5" s="1" customFormat="1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s="1" customFormat="1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s="1" customFormat="1" ht="18" customHeight="1" spans="1:10">
      <c r="A7" s="22">
        <v>43497</v>
      </c>
      <c r="B7" s="12">
        <f t="shared" ref="B7:B12" si="0">G7/(1+C7+E7)</f>
        <v>727272.727272727</v>
      </c>
      <c r="C7" s="23">
        <v>0.02</v>
      </c>
      <c r="D7" s="24">
        <f t="shared" ref="D7:D12" si="1">G7/(1+E7+C7)*C7</f>
        <v>14545.4545454545</v>
      </c>
      <c r="E7" s="23">
        <v>0.08</v>
      </c>
      <c r="F7" s="12">
        <f t="shared" ref="F7:F12" si="2">G7/(1+C7+E7)*E7</f>
        <v>58181.8181818182</v>
      </c>
      <c r="G7" s="25">
        <v>800000</v>
      </c>
      <c r="H7" s="22">
        <v>43507</v>
      </c>
      <c r="I7" s="12">
        <v>800000</v>
      </c>
      <c r="J7" s="57" t="s">
        <v>21</v>
      </c>
    </row>
    <row r="8" s="1" customFormat="1" ht="18" customHeight="1" spans="1:10">
      <c r="A8" s="22">
        <v>43717</v>
      </c>
      <c r="B8" s="12">
        <f t="shared" si="0"/>
        <v>550458.71559633</v>
      </c>
      <c r="C8" s="26">
        <v>0.02</v>
      </c>
      <c r="D8" s="24">
        <f t="shared" si="1"/>
        <v>11009.1743119266</v>
      </c>
      <c r="E8" s="26">
        <v>0.07</v>
      </c>
      <c r="F8" s="12">
        <f t="shared" si="2"/>
        <v>38532.1100917431</v>
      </c>
      <c r="G8" s="25">
        <v>600000</v>
      </c>
      <c r="H8" s="22">
        <v>43732</v>
      </c>
      <c r="I8" s="12">
        <v>600000</v>
      </c>
      <c r="J8" s="57" t="s">
        <v>21</v>
      </c>
    </row>
    <row r="9" s="1" customFormat="1" ht="18" customHeight="1" spans="1:10">
      <c r="A9" s="22">
        <v>43845</v>
      </c>
      <c r="B9" s="12">
        <f t="shared" si="0"/>
        <v>2706422.01834862</v>
      </c>
      <c r="C9" s="26">
        <v>0.02</v>
      </c>
      <c r="D9" s="24">
        <f t="shared" si="1"/>
        <v>54128.4403669725</v>
      </c>
      <c r="E9" s="26">
        <v>0.07</v>
      </c>
      <c r="F9" s="12">
        <f t="shared" si="2"/>
        <v>189449.541284404</v>
      </c>
      <c r="G9" s="25">
        <v>2950000</v>
      </c>
      <c r="H9" s="22">
        <v>43850</v>
      </c>
      <c r="I9" s="12">
        <v>2950000</v>
      </c>
      <c r="J9" s="57" t="s">
        <v>21</v>
      </c>
    </row>
    <row r="10" s="1" customFormat="1" ht="18" customHeight="1" spans="1:10">
      <c r="A10" s="22">
        <v>43984</v>
      </c>
      <c r="B10" s="12">
        <f t="shared" si="0"/>
        <v>1146788.99082569</v>
      </c>
      <c r="C10" s="26">
        <v>0.02</v>
      </c>
      <c r="D10" s="24">
        <f t="shared" si="1"/>
        <v>22935.7798165138</v>
      </c>
      <c r="E10" s="26">
        <v>0.07</v>
      </c>
      <c r="F10" s="12">
        <f t="shared" si="2"/>
        <v>80275.2293577982</v>
      </c>
      <c r="G10" s="25">
        <v>1250000</v>
      </c>
      <c r="H10" s="22">
        <v>44000</v>
      </c>
      <c r="I10" s="12">
        <v>1250000</v>
      </c>
      <c r="J10" s="57" t="s">
        <v>21</v>
      </c>
    </row>
    <row r="11" s="1" customFormat="1" ht="18" customHeight="1" spans="1:10">
      <c r="A11" s="22"/>
      <c r="B11" s="12">
        <f t="shared" si="0"/>
        <v>0</v>
      </c>
      <c r="C11" s="26">
        <v>0.02</v>
      </c>
      <c r="D11" s="24">
        <f t="shared" si="1"/>
        <v>0</v>
      </c>
      <c r="E11" s="26">
        <v>0.07</v>
      </c>
      <c r="F11" s="12">
        <f t="shared" si="2"/>
        <v>0</v>
      </c>
      <c r="G11" s="25"/>
      <c r="H11" s="22"/>
      <c r="I11" s="12"/>
      <c r="J11" s="57"/>
    </row>
    <row r="12" s="1" customFormat="1" ht="18" customHeight="1" spans="1:10">
      <c r="A12" s="22"/>
      <c r="B12" s="12">
        <f t="shared" si="0"/>
        <v>0</v>
      </c>
      <c r="C12" s="26"/>
      <c r="D12" s="24">
        <f t="shared" si="1"/>
        <v>0</v>
      </c>
      <c r="E12" s="26"/>
      <c r="F12" s="12">
        <f t="shared" si="2"/>
        <v>0</v>
      </c>
      <c r="G12" s="25"/>
      <c r="H12" s="22"/>
      <c r="I12" s="12"/>
      <c r="J12" s="57"/>
    </row>
    <row r="13" s="1" customFormat="1" ht="18" customHeight="1" spans="1:10">
      <c r="A13" s="27" t="s">
        <v>22</v>
      </c>
      <c r="B13" s="28">
        <f>SUM(B7:B12)</f>
        <v>5130942.45204337</v>
      </c>
      <c r="C13" s="29"/>
      <c r="D13" s="28">
        <f>SUM(D7:D12)</f>
        <v>102618.849040867</v>
      </c>
      <c r="E13" s="29"/>
      <c r="F13" s="28">
        <f>SUM(F7:F12)</f>
        <v>366438.698915763</v>
      </c>
      <c r="G13" s="30">
        <f>SUM(G7:G12)</f>
        <v>5600000</v>
      </c>
      <c r="H13" s="31"/>
      <c r="I13" s="29">
        <f>SUM(I7:I12)</f>
        <v>5600000</v>
      </c>
      <c r="J13" s="58"/>
    </row>
    <row r="14" s="1" customFormat="1" ht="18" customHeight="1" spans="1:12">
      <c r="A14" s="7" t="s">
        <v>23</v>
      </c>
      <c r="B14" s="6"/>
      <c r="C14" s="4"/>
      <c r="D14" s="4"/>
      <c r="E14" s="4"/>
      <c r="F14" s="6"/>
      <c r="G14" s="6"/>
      <c r="H14" s="4"/>
      <c r="I14" s="6"/>
      <c r="J14" s="4"/>
      <c r="K14" s="4"/>
      <c r="L14" s="5"/>
    </row>
    <row r="15" s="1" customFormat="1" ht="18" customHeight="1" spans="1:15">
      <c r="A15" s="32" t="s">
        <v>24</v>
      </c>
      <c r="B15" s="20" t="s">
        <v>25</v>
      </c>
      <c r="C15" s="19" t="s">
        <v>26</v>
      </c>
      <c r="D15" s="19" t="s">
        <v>27</v>
      </c>
      <c r="E15" s="19" t="s">
        <v>16</v>
      </c>
      <c r="F15" s="20" t="s">
        <v>28</v>
      </c>
      <c r="G15" s="20" t="s">
        <v>14</v>
      </c>
      <c r="H15" s="19" t="s">
        <v>29</v>
      </c>
      <c r="I15" s="20" t="s">
        <v>30</v>
      </c>
      <c r="J15" s="19" t="s">
        <v>20</v>
      </c>
      <c r="K15" s="59" t="s">
        <v>31</v>
      </c>
      <c r="L15" s="21" t="s">
        <v>32</v>
      </c>
      <c r="M15" s="21" t="s">
        <v>33</v>
      </c>
      <c r="N15" s="21" t="s">
        <v>34</v>
      </c>
      <c r="O15" s="21" t="s">
        <v>35</v>
      </c>
    </row>
    <row r="16" s="2" customFormat="1" ht="18" customHeight="1" spans="1:15">
      <c r="A16" s="33"/>
      <c r="B16" s="34">
        <f t="shared" ref="B16:B32" si="3">ROUND(G16/(1+E16),2)</f>
        <v>0</v>
      </c>
      <c r="C16" s="35"/>
      <c r="D16" s="36"/>
      <c r="E16" s="37"/>
      <c r="F16" s="34">
        <f t="shared" ref="F16:F32" si="4">ROUND(G16/(1+E16)*E16,2)</f>
        <v>0</v>
      </c>
      <c r="G16" s="25"/>
      <c r="H16" s="22" t="s">
        <v>36</v>
      </c>
      <c r="I16" s="12">
        <v>-496600</v>
      </c>
      <c r="J16" s="57" t="s">
        <v>37</v>
      </c>
      <c r="K16" s="60" t="s">
        <v>38</v>
      </c>
      <c r="L16" s="61"/>
      <c r="M16" s="62"/>
      <c r="N16" s="62"/>
      <c r="O16" s="61"/>
    </row>
    <row r="17" s="2" customFormat="1" ht="18" customHeight="1" spans="1:15">
      <c r="A17" s="33"/>
      <c r="B17" s="34">
        <f t="shared" si="3"/>
        <v>0</v>
      </c>
      <c r="C17" s="35"/>
      <c r="D17" s="36"/>
      <c r="E17" s="37"/>
      <c r="F17" s="34">
        <f t="shared" si="4"/>
        <v>0</v>
      </c>
      <c r="G17" s="25"/>
      <c r="H17" s="22" t="s">
        <v>36</v>
      </c>
      <c r="I17" s="12">
        <v>496600</v>
      </c>
      <c r="J17" s="57" t="s">
        <v>21</v>
      </c>
      <c r="K17" s="60" t="s">
        <v>39</v>
      </c>
      <c r="L17" s="61" t="s">
        <v>40</v>
      </c>
      <c r="M17" s="62"/>
      <c r="N17" s="62"/>
      <c r="O17" s="61"/>
    </row>
    <row r="18" s="2" customFormat="1" ht="18" customHeight="1" spans="1:15">
      <c r="A18" s="33"/>
      <c r="B18" s="34">
        <f t="shared" si="3"/>
        <v>0</v>
      </c>
      <c r="C18" s="35"/>
      <c r="D18" s="36"/>
      <c r="E18" s="37"/>
      <c r="F18" s="34">
        <f t="shared" si="4"/>
        <v>0</v>
      </c>
      <c r="G18" s="25"/>
      <c r="H18" s="22" t="s">
        <v>36</v>
      </c>
      <c r="I18" s="12">
        <v>-500000</v>
      </c>
      <c r="J18" s="57" t="s">
        <v>37</v>
      </c>
      <c r="K18" s="60" t="s">
        <v>38</v>
      </c>
      <c r="L18" s="61"/>
      <c r="M18" s="62"/>
      <c r="N18" s="62"/>
      <c r="O18" s="61"/>
    </row>
    <row r="19" s="2" customFormat="1" ht="18" customHeight="1" spans="1:15">
      <c r="A19" s="33">
        <v>43497</v>
      </c>
      <c r="B19" s="34">
        <f t="shared" si="3"/>
        <v>431034.48</v>
      </c>
      <c r="C19" s="35"/>
      <c r="D19" s="36" t="s">
        <v>41</v>
      </c>
      <c r="E19" s="37">
        <v>0.16</v>
      </c>
      <c r="F19" s="34">
        <f t="shared" si="4"/>
        <v>68965.52</v>
      </c>
      <c r="G19" s="25">
        <v>500000</v>
      </c>
      <c r="H19" s="22" t="s">
        <v>36</v>
      </c>
      <c r="I19" s="12">
        <v>500000</v>
      </c>
      <c r="J19" s="57" t="s">
        <v>21</v>
      </c>
      <c r="K19" s="60" t="s">
        <v>39</v>
      </c>
      <c r="L19" s="61" t="s">
        <v>40</v>
      </c>
      <c r="M19" s="62"/>
      <c r="N19" s="62"/>
      <c r="O19" s="61"/>
    </row>
    <row r="20" s="2" customFormat="1" ht="18" customHeight="1" spans="1:15">
      <c r="A20" s="33"/>
      <c r="B20" s="34">
        <f t="shared" si="3"/>
        <v>0</v>
      </c>
      <c r="C20" s="35"/>
      <c r="D20" s="36"/>
      <c r="E20" s="37"/>
      <c r="F20" s="34">
        <f t="shared" si="4"/>
        <v>0</v>
      </c>
      <c r="G20" s="25"/>
      <c r="H20" s="22">
        <v>43529</v>
      </c>
      <c r="I20" s="12">
        <v>500000</v>
      </c>
      <c r="J20" s="57" t="s">
        <v>37</v>
      </c>
      <c r="K20" s="60" t="s">
        <v>38</v>
      </c>
      <c r="L20" s="61"/>
      <c r="M20" s="62"/>
      <c r="N20" s="62"/>
      <c r="O20" s="61"/>
    </row>
    <row r="21" s="2" customFormat="1" ht="18" customHeight="1" spans="1:15">
      <c r="A21" s="33">
        <v>43525</v>
      </c>
      <c r="B21" s="34">
        <f t="shared" si="3"/>
        <v>165000</v>
      </c>
      <c r="C21" s="35"/>
      <c r="D21" s="36" t="s">
        <v>42</v>
      </c>
      <c r="E21" s="37"/>
      <c r="F21" s="34">
        <f t="shared" si="4"/>
        <v>0</v>
      </c>
      <c r="G21" s="25">
        <v>165000</v>
      </c>
      <c r="H21" s="22">
        <v>43543</v>
      </c>
      <c r="I21" s="12">
        <v>165000</v>
      </c>
      <c r="J21" s="57" t="s">
        <v>37</v>
      </c>
      <c r="K21" s="60" t="s">
        <v>43</v>
      </c>
      <c r="L21" s="61" t="s">
        <v>44</v>
      </c>
      <c r="M21" s="62"/>
      <c r="N21" s="62"/>
      <c r="O21" s="61"/>
    </row>
    <row r="22" s="2" customFormat="1" ht="18" customHeight="1" spans="1:15">
      <c r="A22" s="33">
        <v>43525</v>
      </c>
      <c r="B22" s="34">
        <f t="shared" si="3"/>
        <v>127000</v>
      </c>
      <c r="C22" s="35"/>
      <c r="D22" s="36" t="s">
        <v>42</v>
      </c>
      <c r="E22" s="37"/>
      <c r="F22" s="34">
        <f t="shared" si="4"/>
        <v>0</v>
      </c>
      <c r="G22" s="25">
        <v>127000</v>
      </c>
      <c r="H22" s="22">
        <v>43543</v>
      </c>
      <c r="I22" s="12">
        <v>109823</v>
      </c>
      <c r="J22" s="57" t="s">
        <v>37</v>
      </c>
      <c r="K22" s="60" t="s">
        <v>45</v>
      </c>
      <c r="L22" s="61" t="s">
        <v>46</v>
      </c>
      <c r="M22" s="62"/>
      <c r="N22" s="62"/>
      <c r="O22" s="61"/>
    </row>
    <row r="23" s="2" customFormat="1" ht="18" customHeight="1" spans="1:15">
      <c r="A23" s="33">
        <v>43709</v>
      </c>
      <c r="B23" s="34">
        <f t="shared" si="3"/>
        <v>439469.03</v>
      </c>
      <c r="C23" s="35"/>
      <c r="D23" s="36" t="s">
        <v>41</v>
      </c>
      <c r="E23" s="38">
        <v>0.13</v>
      </c>
      <c r="F23" s="34">
        <f t="shared" si="4"/>
        <v>57130.97</v>
      </c>
      <c r="G23" s="25">
        <v>496600</v>
      </c>
      <c r="H23" s="22">
        <v>43748</v>
      </c>
      <c r="I23" s="12">
        <v>500000</v>
      </c>
      <c r="J23" s="57" t="s">
        <v>21</v>
      </c>
      <c r="K23" s="60" t="s">
        <v>39</v>
      </c>
      <c r="L23" s="61" t="s">
        <v>47</v>
      </c>
      <c r="M23" s="62"/>
      <c r="N23" s="62"/>
      <c r="O23" s="61"/>
    </row>
    <row r="24" s="2" customFormat="1" ht="18" customHeight="1" spans="1:15">
      <c r="A24" s="33"/>
      <c r="B24" s="34">
        <f t="shared" si="3"/>
        <v>0</v>
      </c>
      <c r="C24" s="35"/>
      <c r="D24" s="36"/>
      <c r="E24" s="38"/>
      <c r="F24" s="34">
        <f t="shared" si="4"/>
        <v>0</v>
      </c>
      <c r="G24" s="25"/>
      <c r="H24" s="22">
        <v>43752</v>
      </c>
      <c r="I24" s="12">
        <v>-500000</v>
      </c>
      <c r="J24" s="57" t="s">
        <v>37</v>
      </c>
      <c r="K24" s="60" t="s">
        <v>38</v>
      </c>
      <c r="L24" s="61"/>
      <c r="M24" s="62"/>
      <c r="N24" s="62"/>
      <c r="O24" s="61"/>
    </row>
    <row r="25" s="2" customFormat="1" ht="18" customHeight="1" spans="1:15">
      <c r="A25" s="33"/>
      <c r="B25" s="34">
        <f t="shared" si="3"/>
        <v>0</v>
      </c>
      <c r="C25" s="35"/>
      <c r="D25" s="36"/>
      <c r="E25" s="38"/>
      <c r="F25" s="34">
        <f t="shared" si="4"/>
        <v>0</v>
      </c>
      <c r="G25" s="25"/>
      <c r="H25" s="22">
        <v>43753</v>
      </c>
      <c r="I25" s="12">
        <v>500000</v>
      </c>
      <c r="J25" s="57" t="s">
        <v>21</v>
      </c>
      <c r="K25" s="60" t="s">
        <v>39</v>
      </c>
      <c r="L25" s="61" t="s">
        <v>40</v>
      </c>
      <c r="M25" s="62"/>
      <c r="N25" s="62"/>
      <c r="O25" s="61"/>
    </row>
    <row r="26" s="2" customFormat="1" ht="18" customHeight="1" spans="1:15">
      <c r="A26" s="33">
        <v>43831</v>
      </c>
      <c r="B26" s="34">
        <f t="shared" si="3"/>
        <v>390000</v>
      </c>
      <c r="C26" s="35"/>
      <c r="D26" s="36" t="s">
        <v>48</v>
      </c>
      <c r="E26" s="38"/>
      <c r="F26" s="34">
        <f t="shared" si="4"/>
        <v>0</v>
      </c>
      <c r="G26" s="25">
        <f>97500+97500+97500+97500</f>
        <v>390000</v>
      </c>
      <c r="H26" s="22">
        <v>43852</v>
      </c>
      <c r="I26" s="12">
        <v>392000</v>
      </c>
      <c r="J26" s="57" t="s">
        <v>21</v>
      </c>
      <c r="K26" s="60" t="s">
        <v>49</v>
      </c>
      <c r="L26" s="61" t="s">
        <v>50</v>
      </c>
      <c r="M26" s="62"/>
      <c r="N26" s="62"/>
      <c r="O26" s="61"/>
    </row>
    <row r="27" s="3" customFormat="1" ht="18" customHeight="1" spans="1:15">
      <c r="A27" s="33">
        <v>43831</v>
      </c>
      <c r="B27" s="34">
        <f t="shared" si="3"/>
        <v>1415929.2</v>
      </c>
      <c r="C27" s="35"/>
      <c r="D27" s="36" t="s">
        <v>41</v>
      </c>
      <c r="E27" s="38">
        <v>0.13</v>
      </c>
      <c r="F27" s="34">
        <f t="shared" si="4"/>
        <v>184070.8</v>
      </c>
      <c r="G27" s="25">
        <f>110000*6+53600+110800*8</f>
        <v>1600000</v>
      </c>
      <c r="H27" s="39">
        <v>43852</v>
      </c>
      <c r="I27" s="34">
        <v>1600000</v>
      </c>
      <c r="J27" s="62" t="s">
        <v>21</v>
      </c>
      <c r="K27" s="60" t="s">
        <v>39</v>
      </c>
      <c r="L27" s="61" t="s">
        <v>51</v>
      </c>
      <c r="M27" s="62" t="s">
        <v>112</v>
      </c>
      <c r="N27" s="63"/>
      <c r="O27" s="64"/>
    </row>
    <row r="28" s="2" customFormat="1" ht="18" customHeight="1" spans="1:15">
      <c r="A28" s="33">
        <v>43831</v>
      </c>
      <c r="B28" s="34">
        <f t="shared" si="3"/>
        <v>679611.65</v>
      </c>
      <c r="C28" s="35"/>
      <c r="D28" s="36" t="s">
        <v>41</v>
      </c>
      <c r="E28" s="38">
        <v>0.03</v>
      </c>
      <c r="F28" s="34">
        <f t="shared" si="4"/>
        <v>20388.35</v>
      </c>
      <c r="G28" s="25">
        <v>700000</v>
      </c>
      <c r="H28" s="22">
        <v>43852</v>
      </c>
      <c r="I28" s="12">
        <v>700000</v>
      </c>
      <c r="J28" s="57" t="s">
        <v>21</v>
      </c>
      <c r="K28" s="60" t="s">
        <v>49</v>
      </c>
      <c r="L28" s="61" t="s">
        <v>44</v>
      </c>
      <c r="M28" s="62"/>
      <c r="N28" s="62"/>
      <c r="O28" s="61"/>
    </row>
    <row r="29" s="2" customFormat="1" ht="18" customHeight="1" spans="1:15">
      <c r="A29" s="33"/>
      <c r="B29" s="34">
        <f t="shared" si="3"/>
        <v>0</v>
      </c>
      <c r="C29" s="35"/>
      <c r="D29" s="36"/>
      <c r="E29" s="38"/>
      <c r="F29" s="34">
        <f t="shared" si="4"/>
        <v>0</v>
      </c>
      <c r="G29" s="25"/>
      <c r="H29" s="22">
        <v>44005</v>
      </c>
      <c r="I29" s="34">
        <v>750000</v>
      </c>
      <c r="J29" s="62" t="s">
        <v>21</v>
      </c>
      <c r="K29" s="60" t="s">
        <v>39</v>
      </c>
      <c r="L29" s="61"/>
      <c r="M29" s="62"/>
      <c r="N29" s="62"/>
      <c r="O29" s="61"/>
    </row>
    <row r="30" s="3" customFormat="1" ht="18" customHeight="1" spans="1:15">
      <c r="A30" s="33">
        <v>44002</v>
      </c>
      <c r="B30" s="34">
        <f t="shared" si="3"/>
        <v>371150.44</v>
      </c>
      <c r="C30" s="35"/>
      <c r="D30" s="36" t="s">
        <v>41</v>
      </c>
      <c r="E30" s="38">
        <v>0.13</v>
      </c>
      <c r="F30" s="34">
        <f t="shared" si="4"/>
        <v>48249.56</v>
      </c>
      <c r="G30" s="25">
        <f>104850*4</f>
        <v>419400</v>
      </c>
      <c r="H30" s="39"/>
      <c r="I30" s="34"/>
      <c r="J30" s="62"/>
      <c r="K30" s="60" t="s">
        <v>39</v>
      </c>
      <c r="L30" s="61" t="s">
        <v>92</v>
      </c>
      <c r="M30" s="62" t="s">
        <v>93</v>
      </c>
      <c r="N30" s="63"/>
      <c r="O30" s="64"/>
    </row>
    <row r="31" s="3" customFormat="1" ht="18" customHeight="1" spans="1:15">
      <c r="A31" s="33">
        <v>44032</v>
      </c>
      <c r="B31" s="34">
        <f t="shared" si="3"/>
        <v>292566.37</v>
      </c>
      <c r="C31" s="35"/>
      <c r="D31" s="36" t="s">
        <v>41</v>
      </c>
      <c r="E31" s="38">
        <v>0.13</v>
      </c>
      <c r="F31" s="34">
        <f t="shared" si="4"/>
        <v>38033.63</v>
      </c>
      <c r="G31" s="25">
        <f>110200*3</f>
        <v>330600</v>
      </c>
      <c r="H31" s="39"/>
      <c r="I31" s="34"/>
      <c r="J31" s="62"/>
      <c r="K31" s="60" t="s">
        <v>39</v>
      </c>
      <c r="L31" s="61" t="s">
        <v>94</v>
      </c>
      <c r="M31" s="62" t="s">
        <v>93</v>
      </c>
      <c r="N31" s="63"/>
      <c r="O31" s="64"/>
    </row>
    <row r="32" s="3" customFormat="1" ht="18" customHeight="1" spans="1:15">
      <c r="A32" s="33">
        <v>44063</v>
      </c>
      <c r="B32" s="34">
        <f t="shared" si="3"/>
        <v>517507.52</v>
      </c>
      <c r="C32" s="35"/>
      <c r="D32" s="36" t="s">
        <v>41</v>
      </c>
      <c r="E32" s="38">
        <v>0.01</v>
      </c>
      <c r="F32" s="34">
        <f t="shared" si="4"/>
        <v>5175.08</v>
      </c>
      <c r="G32" s="25">
        <f>100000+100000+100000+100000+100000+22682.6</f>
        <v>522682.6</v>
      </c>
      <c r="H32" s="39">
        <v>44056</v>
      </c>
      <c r="I32" s="34">
        <v>522682.6</v>
      </c>
      <c r="J32" s="62" t="s">
        <v>21</v>
      </c>
      <c r="K32" s="60" t="s">
        <v>95</v>
      </c>
      <c r="L32" s="61" t="s">
        <v>96</v>
      </c>
      <c r="M32" s="62" t="s">
        <v>97</v>
      </c>
      <c r="N32" s="63"/>
      <c r="O32" s="64"/>
    </row>
    <row r="33" s="3" customFormat="1" ht="18" customHeight="1" spans="1:15">
      <c r="A33" s="33"/>
      <c r="B33" s="34">
        <f t="shared" ref="B33:B42" si="5">ROUND(G33/(1+E33),2)</f>
        <v>0</v>
      </c>
      <c r="C33" s="35"/>
      <c r="D33" s="36"/>
      <c r="E33" s="38">
        <v>0.13</v>
      </c>
      <c r="F33" s="34">
        <f t="shared" ref="F33:F43" si="6">ROUND(G33/(1+E33)*E33,2)</f>
        <v>0</v>
      </c>
      <c r="G33" s="25"/>
      <c r="H33" s="39"/>
      <c r="I33" s="34"/>
      <c r="J33" s="62"/>
      <c r="K33" s="60"/>
      <c r="L33" s="61"/>
      <c r="M33" s="62"/>
      <c r="N33" s="63"/>
      <c r="O33" s="64"/>
    </row>
    <row r="34" s="3" customFormat="1" ht="18" customHeight="1" spans="1:15">
      <c r="A34" s="33"/>
      <c r="B34" s="34">
        <f t="shared" si="5"/>
        <v>0</v>
      </c>
      <c r="C34" s="35"/>
      <c r="D34" s="36"/>
      <c r="E34" s="38"/>
      <c r="F34" s="34">
        <f t="shared" si="6"/>
        <v>0</v>
      </c>
      <c r="G34" s="25"/>
      <c r="H34" s="39"/>
      <c r="I34" s="34"/>
      <c r="J34" s="62"/>
      <c r="K34" s="60"/>
      <c r="L34" s="61"/>
      <c r="M34" s="62"/>
      <c r="N34" s="63"/>
      <c r="O34" s="64"/>
    </row>
    <row r="35" s="3" customFormat="1" ht="18" customHeight="1" spans="1:15">
      <c r="A35" s="33"/>
      <c r="B35" s="34">
        <f t="shared" si="5"/>
        <v>0</v>
      </c>
      <c r="C35" s="35"/>
      <c r="D35" s="36"/>
      <c r="E35" s="38"/>
      <c r="F35" s="34">
        <f t="shared" si="6"/>
        <v>0</v>
      </c>
      <c r="G35" s="25"/>
      <c r="H35" s="39"/>
      <c r="I35" s="34"/>
      <c r="J35" s="62"/>
      <c r="K35" s="60"/>
      <c r="L35" s="61"/>
      <c r="M35" s="62"/>
      <c r="N35" s="63"/>
      <c r="O35" s="64"/>
    </row>
    <row r="36" s="3" customFormat="1" ht="18" customHeight="1" spans="1:15">
      <c r="A36" s="33"/>
      <c r="B36" s="34">
        <f t="shared" si="5"/>
        <v>0</v>
      </c>
      <c r="C36" s="35"/>
      <c r="D36" s="36"/>
      <c r="E36" s="38"/>
      <c r="F36" s="34">
        <f t="shared" si="6"/>
        <v>0</v>
      </c>
      <c r="G36" s="25"/>
      <c r="H36" s="39"/>
      <c r="I36" s="34"/>
      <c r="J36" s="62"/>
      <c r="K36" s="60"/>
      <c r="L36" s="61"/>
      <c r="M36" s="62"/>
      <c r="N36" s="63"/>
      <c r="O36" s="64"/>
    </row>
    <row r="37" s="3" customFormat="1" ht="18" customHeight="1" spans="1:15">
      <c r="A37" s="33"/>
      <c r="B37" s="34">
        <f t="shared" si="5"/>
        <v>0</v>
      </c>
      <c r="C37" s="35"/>
      <c r="D37" s="36"/>
      <c r="E37" s="38"/>
      <c r="F37" s="34">
        <f t="shared" si="6"/>
        <v>0</v>
      </c>
      <c r="G37" s="25"/>
      <c r="H37" s="39"/>
      <c r="I37" s="34"/>
      <c r="J37" s="62"/>
      <c r="K37" s="60"/>
      <c r="L37" s="61"/>
      <c r="M37" s="62"/>
      <c r="N37" s="63"/>
      <c r="O37" s="64"/>
    </row>
    <row r="38" s="3" customFormat="1" ht="18" customHeight="1" spans="1:15">
      <c r="A38" s="33"/>
      <c r="B38" s="34">
        <f t="shared" si="5"/>
        <v>0</v>
      </c>
      <c r="C38" s="35"/>
      <c r="D38" s="36"/>
      <c r="E38" s="38"/>
      <c r="F38" s="34">
        <f t="shared" si="6"/>
        <v>0</v>
      </c>
      <c r="G38" s="25"/>
      <c r="H38" s="39"/>
      <c r="I38" s="34"/>
      <c r="J38" s="62"/>
      <c r="K38" s="60"/>
      <c r="L38" s="61"/>
      <c r="M38" s="62"/>
      <c r="N38" s="63"/>
      <c r="O38" s="64"/>
    </row>
    <row r="39" s="3" customFormat="1" ht="18" customHeight="1" spans="1:15">
      <c r="A39" s="33"/>
      <c r="B39" s="34">
        <f t="shared" si="5"/>
        <v>0</v>
      </c>
      <c r="C39" s="35"/>
      <c r="D39" s="36"/>
      <c r="E39" s="38"/>
      <c r="F39" s="34">
        <f t="shared" si="6"/>
        <v>0</v>
      </c>
      <c r="G39" s="25"/>
      <c r="H39" s="39"/>
      <c r="I39" s="34"/>
      <c r="J39" s="62"/>
      <c r="K39" s="60"/>
      <c r="L39" s="61"/>
      <c r="M39" s="62"/>
      <c r="N39" s="63"/>
      <c r="O39" s="64"/>
    </row>
    <row r="40" s="3" customFormat="1" ht="18" customHeight="1" spans="1:15">
      <c r="A40" s="33"/>
      <c r="B40" s="34">
        <f t="shared" si="5"/>
        <v>0</v>
      </c>
      <c r="C40" s="35"/>
      <c r="D40" s="36"/>
      <c r="E40" s="38"/>
      <c r="F40" s="34">
        <f t="shared" si="6"/>
        <v>0</v>
      </c>
      <c r="G40" s="25"/>
      <c r="H40" s="39"/>
      <c r="I40" s="34"/>
      <c r="J40" s="62"/>
      <c r="K40" s="60"/>
      <c r="L40" s="61"/>
      <c r="M40" s="62"/>
      <c r="N40" s="63"/>
      <c r="O40" s="64"/>
    </row>
    <row r="41" s="3" customFormat="1" ht="18" customHeight="1" spans="1:15">
      <c r="A41" s="33"/>
      <c r="B41" s="34">
        <f t="shared" si="5"/>
        <v>0</v>
      </c>
      <c r="C41" s="35"/>
      <c r="D41" s="36"/>
      <c r="E41" s="38"/>
      <c r="F41" s="34">
        <f t="shared" si="6"/>
        <v>0</v>
      </c>
      <c r="G41" s="25"/>
      <c r="H41" s="39"/>
      <c r="I41" s="34"/>
      <c r="J41" s="62"/>
      <c r="K41" s="60"/>
      <c r="L41" s="61"/>
      <c r="M41" s="62"/>
      <c r="N41" s="63"/>
      <c r="O41" s="64"/>
    </row>
    <row r="42" s="3" customFormat="1" ht="18" customHeight="1" spans="1:15">
      <c r="A42" s="33"/>
      <c r="B42" s="34">
        <f t="shared" si="5"/>
        <v>0</v>
      </c>
      <c r="C42" s="35"/>
      <c r="D42" s="36"/>
      <c r="E42" s="38"/>
      <c r="F42" s="34">
        <f t="shared" si="6"/>
        <v>0</v>
      </c>
      <c r="G42" s="25"/>
      <c r="H42" s="39"/>
      <c r="I42" s="34"/>
      <c r="J42" s="62"/>
      <c r="K42" s="60"/>
      <c r="L42" s="61"/>
      <c r="M42" s="62"/>
      <c r="N42" s="63"/>
      <c r="O42" s="64"/>
    </row>
    <row r="43" s="3" customFormat="1" ht="18" customHeight="1" spans="1:15">
      <c r="A43" s="40"/>
      <c r="B43" s="41">
        <f t="shared" ref="B43:B61" si="7">ROUND(G43/(1+E43),2)</f>
        <v>0</v>
      </c>
      <c r="C43" s="42"/>
      <c r="D43" s="43"/>
      <c r="E43" s="44"/>
      <c r="F43" s="34">
        <f t="shared" si="6"/>
        <v>0</v>
      </c>
      <c r="G43" s="45"/>
      <c r="H43" s="39" t="s">
        <v>98</v>
      </c>
      <c r="I43" s="12">
        <v>100</v>
      </c>
      <c r="J43" s="57" t="s">
        <v>56</v>
      </c>
      <c r="K43" s="60" t="s">
        <v>58</v>
      </c>
      <c r="L43" s="64"/>
      <c r="M43" s="63"/>
      <c r="N43" s="63"/>
      <c r="O43" s="64"/>
    </row>
    <row r="44" s="3" customFormat="1" ht="18" customHeight="1" spans="1:15">
      <c r="A44" s="40"/>
      <c r="B44" s="41">
        <f t="shared" si="7"/>
        <v>0</v>
      </c>
      <c r="C44" s="42"/>
      <c r="D44" s="43"/>
      <c r="E44" s="44"/>
      <c r="F44" s="34">
        <f t="shared" ref="F43:F61" si="8">ROUND(G44/(1+E44)*E44,2)</f>
        <v>0</v>
      </c>
      <c r="G44" s="45"/>
      <c r="H44" s="22" t="s">
        <v>99</v>
      </c>
      <c r="I44" s="34">
        <v>-290000</v>
      </c>
      <c r="J44" s="62" t="s">
        <v>62</v>
      </c>
      <c r="K44" s="60" t="s">
        <v>100</v>
      </c>
      <c r="L44" s="64"/>
      <c r="M44" s="63"/>
      <c r="N44" s="63"/>
      <c r="O44" s="64"/>
    </row>
    <row r="45" s="2" customFormat="1" ht="18" customHeight="1" spans="1:15">
      <c r="A45" s="33"/>
      <c r="B45" s="41">
        <f t="shared" si="7"/>
        <v>0</v>
      </c>
      <c r="C45" s="35"/>
      <c r="D45" s="36"/>
      <c r="E45" s="38"/>
      <c r="F45" s="34">
        <f t="shared" si="8"/>
        <v>0</v>
      </c>
      <c r="G45" s="25"/>
      <c r="H45" s="22" t="s">
        <v>99</v>
      </c>
      <c r="I45" s="12">
        <v>100</v>
      </c>
      <c r="J45" s="57" t="s">
        <v>56</v>
      </c>
      <c r="K45" s="60" t="s">
        <v>58</v>
      </c>
      <c r="L45" s="61"/>
      <c r="M45" s="62"/>
      <c r="N45" s="62"/>
      <c r="O45" s="61"/>
    </row>
    <row r="46" s="2" customFormat="1" ht="18" customHeight="1" spans="1:15">
      <c r="A46" s="33"/>
      <c r="B46" s="41">
        <f t="shared" si="7"/>
        <v>0</v>
      </c>
      <c r="C46" s="35"/>
      <c r="D46" s="36"/>
      <c r="E46" s="38"/>
      <c r="F46" s="34">
        <f t="shared" si="8"/>
        <v>0</v>
      </c>
      <c r="G46" s="25"/>
      <c r="H46" s="46" t="s">
        <v>99</v>
      </c>
      <c r="I46" s="65">
        <v>1064</v>
      </c>
      <c r="J46" s="66" t="s">
        <v>56</v>
      </c>
      <c r="K46" s="67" t="s">
        <v>101</v>
      </c>
      <c r="L46" s="61"/>
      <c r="M46" s="62"/>
      <c r="N46" s="62"/>
      <c r="O46" s="61"/>
    </row>
    <row r="47" s="2" customFormat="1" ht="18" customHeight="1" spans="1:15">
      <c r="A47" s="33"/>
      <c r="B47" s="41">
        <f t="shared" si="7"/>
        <v>0</v>
      </c>
      <c r="C47" s="35"/>
      <c r="D47" s="36"/>
      <c r="E47" s="38"/>
      <c r="F47" s="34">
        <f t="shared" si="8"/>
        <v>0</v>
      </c>
      <c r="G47" s="25"/>
      <c r="H47" s="22" t="s">
        <v>99</v>
      </c>
      <c r="I47" s="12">
        <v>280000</v>
      </c>
      <c r="J47" s="57" t="s">
        <v>54</v>
      </c>
      <c r="K47" s="60" t="s">
        <v>55</v>
      </c>
      <c r="L47" s="61"/>
      <c r="M47" s="62"/>
      <c r="N47" s="62"/>
      <c r="O47" s="61"/>
    </row>
    <row r="48" s="2" customFormat="1" ht="18" customHeight="1" spans="1:15">
      <c r="A48" s="33"/>
      <c r="B48" s="41">
        <f t="shared" si="7"/>
        <v>25000</v>
      </c>
      <c r="C48" s="35"/>
      <c r="D48" s="36"/>
      <c r="E48" s="38"/>
      <c r="F48" s="34">
        <f t="shared" si="8"/>
        <v>0</v>
      </c>
      <c r="G48" s="25">
        <f>I48</f>
        <v>25000</v>
      </c>
      <c r="H48" s="22" t="s">
        <v>99</v>
      </c>
      <c r="I48" s="12">
        <v>25000</v>
      </c>
      <c r="J48" s="57" t="s">
        <v>56</v>
      </c>
      <c r="K48" s="60" t="s">
        <v>59</v>
      </c>
      <c r="L48" s="61"/>
      <c r="M48" s="62"/>
      <c r="N48" s="62"/>
      <c r="O48" s="61"/>
    </row>
    <row r="49" s="2" customFormat="1" ht="18" customHeight="1" spans="1:15">
      <c r="A49" s="33"/>
      <c r="B49" s="34">
        <f t="shared" si="7"/>
        <v>0</v>
      </c>
      <c r="C49" s="35"/>
      <c r="D49" s="36"/>
      <c r="E49" s="38"/>
      <c r="F49" s="34">
        <f t="shared" si="8"/>
        <v>0</v>
      </c>
      <c r="G49" s="25"/>
      <c r="H49" s="22" t="s">
        <v>53</v>
      </c>
      <c r="I49" s="12">
        <v>41000</v>
      </c>
      <c r="J49" s="57" t="s">
        <v>54</v>
      </c>
      <c r="K49" s="60" t="s">
        <v>55</v>
      </c>
      <c r="L49" s="61"/>
      <c r="M49" s="62"/>
      <c r="N49" s="62"/>
      <c r="O49" s="61"/>
    </row>
    <row r="50" s="2" customFormat="1" ht="18" customHeight="1" spans="1:15">
      <c r="A50" s="33"/>
      <c r="B50" s="34">
        <f t="shared" si="7"/>
        <v>0</v>
      </c>
      <c r="C50" s="35"/>
      <c r="D50" s="36"/>
      <c r="E50" s="38"/>
      <c r="F50" s="34">
        <f t="shared" si="8"/>
        <v>0</v>
      </c>
      <c r="G50" s="25"/>
      <c r="H50" s="46" t="s">
        <v>53</v>
      </c>
      <c r="I50" s="65">
        <v>2510</v>
      </c>
      <c r="J50" s="66" t="s">
        <v>56</v>
      </c>
      <c r="K50" s="67" t="s">
        <v>57</v>
      </c>
      <c r="L50" s="61"/>
      <c r="M50" s="62"/>
      <c r="N50" s="62"/>
      <c r="O50" s="61"/>
    </row>
    <row r="51" s="2" customFormat="1" ht="18" customHeight="1" spans="1:15">
      <c r="A51" s="33"/>
      <c r="B51" s="34">
        <f t="shared" si="7"/>
        <v>0</v>
      </c>
      <c r="C51" s="35"/>
      <c r="D51" s="36"/>
      <c r="E51" s="38"/>
      <c r="F51" s="34">
        <f t="shared" si="8"/>
        <v>0</v>
      </c>
      <c r="G51" s="25"/>
      <c r="H51" s="22" t="s">
        <v>53</v>
      </c>
      <c r="I51" s="12">
        <v>400</v>
      </c>
      <c r="J51" s="57" t="s">
        <v>56</v>
      </c>
      <c r="K51" s="60" t="s">
        <v>58</v>
      </c>
      <c r="L51" s="61"/>
      <c r="M51" s="62"/>
      <c r="N51" s="62"/>
      <c r="O51" s="61"/>
    </row>
    <row r="52" s="2" customFormat="1" ht="18" customHeight="1" spans="1:15">
      <c r="A52" s="33"/>
      <c r="B52" s="34">
        <f t="shared" si="7"/>
        <v>59000</v>
      </c>
      <c r="C52" s="35"/>
      <c r="D52" s="36"/>
      <c r="E52" s="38"/>
      <c r="F52" s="34">
        <f t="shared" si="8"/>
        <v>0</v>
      </c>
      <c r="G52" s="25">
        <f>59000</f>
        <v>59000</v>
      </c>
      <c r="H52" s="22" t="s">
        <v>53</v>
      </c>
      <c r="I52" s="12">
        <f>G52</f>
        <v>59000</v>
      </c>
      <c r="J52" s="57" t="s">
        <v>56</v>
      </c>
      <c r="K52" s="60" t="s">
        <v>59</v>
      </c>
      <c r="L52" s="61"/>
      <c r="M52" s="62"/>
      <c r="N52" s="62"/>
      <c r="O52" s="61"/>
    </row>
    <row r="53" s="2" customFormat="1" ht="18" customHeight="1" spans="1:15">
      <c r="A53" s="33"/>
      <c r="B53" s="34">
        <f t="shared" si="7"/>
        <v>0</v>
      </c>
      <c r="C53" s="35"/>
      <c r="D53" s="36"/>
      <c r="E53" s="38"/>
      <c r="F53" s="34">
        <f t="shared" si="8"/>
        <v>0</v>
      </c>
      <c r="G53" s="25"/>
      <c r="H53" s="46" t="s">
        <v>60</v>
      </c>
      <c r="I53" s="65">
        <v>511</v>
      </c>
      <c r="J53" s="66" t="s">
        <v>56</v>
      </c>
      <c r="K53" s="67" t="s">
        <v>57</v>
      </c>
      <c r="L53" s="61"/>
      <c r="M53" s="62"/>
      <c r="N53" s="62"/>
      <c r="O53" s="61"/>
    </row>
    <row r="54" s="2" customFormat="1" ht="18" customHeight="1" spans="1:18">
      <c r="A54" s="33"/>
      <c r="B54" s="34">
        <f t="shared" si="7"/>
        <v>0</v>
      </c>
      <c r="C54" s="35"/>
      <c r="D54" s="36"/>
      <c r="E54" s="37"/>
      <c r="F54" s="34">
        <f t="shared" si="8"/>
        <v>0</v>
      </c>
      <c r="G54" s="25"/>
      <c r="H54" s="22" t="s">
        <v>60</v>
      </c>
      <c r="I54" s="12">
        <v>21807</v>
      </c>
      <c r="J54" s="57" t="s">
        <v>54</v>
      </c>
      <c r="K54" s="60" t="s">
        <v>55</v>
      </c>
      <c r="L54" s="61"/>
      <c r="M54" s="62"/>
      <c r="N54" s="62"/>
      <c r="O54" s="61"/>
      <c r="R54" s="2" t="s">
        <v>102</v>
      </c>
    </row>
    <row r="55" s="2" customFormat="1" ht="18" customHeight="1" spans="1:15">
      <c r="A55" s="33"/>
      <c r="B55" s="34">
        <f t="shared" si="7"/>
        <v>12000</v>
      </c>
      <c r="C55" s="35"/>
      <c r="D55" s="36"/>
      <c r="E55" s="37"/>
      <c r="F55" s="34">
        <f t="shared" si="8"/>
        <v>0</v>
      </c>
      <c r="G55" s="25">
        <v>12000</v>
      </c>
      <c r="H55" s="22" t="s">
        <v>60</v>
      </c>
      <c r="I55" s="12">
        <f>G55</f>
        <v>12000</v>
      </c>
      <c r="J55" s="57" t="s">
        <v>56</v>
      </c>
      <c r="K55" s="60" t="s">
        <v>59</v>
      </c>
      <c r="L55" s="61"/>
      <c r="M55" s="62"/>
      <c r="N55" s="62"/>
      <c r="O55" s="61"/>
    </row>
    <row r="56" s="2" customFormat="1" ht="18" customHeight="1" spans="1:15">
      <c r="A56" s="33"/>
      <c r="B56" s="34">
        <f t="shared" si="7"/>
        <v>0</v>
      </c>
      <c r="C56" s="35"/>
      <c r="D56" s="36"/>
      <c r="E56" s="37"/>
      <c r="F56" s="34">
        <f t="shared" si="8"/>
        <v>0</v>
      </c>
      <c r="G56" s="25"/>
      <c r="H56" s="22" t="s">
        <v>61</v>
      </c>
      <c r="I56" s="12">
        <v>-70060</v>
      </c>
      <c r="J56" s="57" t="s">
        <v>62</v>
      </c>
      <c r="K56" s="60" t="s">
        <v>63</v>
      </c>
      <c r="L56" s="61"/>
      <c r="M56" s="62"/>
      <c r="N56" s="62"/>
      <c r="O56" s="61"/>
    </row>
    <row r="57" s="2" customFormat="1" ht="18" customHeight="1" spans="1:15">
      <c r="A57" s="33"/>
      <c r="B57" s="34">
        <f t="shared" si="7"/>
        <v>0</v>
      </c>
      <c r="C57" s="35"/>
      <c r="D57" s="36"/>
      <c r="E57" s="37"/>
      <c r="F57" s="34">
        <f t="shared" si="8"/>
        <v>0</v>
      </c>
      <c r="G57" s="25"/>
      <c r="H57" s="22" t="s">
        <v>61</v>
      </c>
      <c r="I57" s="12">
        <v>70060</v>
      </c>
      <c r="J57" s="57" t="s">
        <v>54</v>
      </c>
      <c r="K57" s="60" t="s">
        <v>55</v>
      </c>
      <c r="L57" s="61"/>
      <c r="M57" s="62"/>
      <c r="N57" s="62"/>
      <c r="O57" s="61"/>
    </row>
    <row r="58" s="2" customFormat="1" ht="18" customHeight="1" spans="1:15">
      <c r="A58" s="33"/>
      <c r="B58" s="34">
        <f t="shared" si="7"/>
        <v>0</v>
      </c>
      <c r="C58" s="35"/>
      <c r="D58" s="36"/>
      <c r="E58" s="37"/>
      <c r="F58" s="34">
        <f t="shared" si="8"/>
        <v>0</v>
      </c>
      <c r="G58" s="25"/>
      <c r="H58" s="46" t="s">
        <v>61</v>
      </c>
      <c r="I58" s="65">
        <v>677</v>
      </c>
      <c r="J58" s="66" t="s">
        <v>56</v>
      </c>
      <c r="K58" s="67" t="s">
        <v>57</v>
      </c>
      <c r="L58" s="61"/>
      <c r="M58" s="62"/>
      <c r="N58" s="62"/>
      <c r="O58" s="61"/>
    </row>
    <row r="59" s="2" customFormat="1" ht="18" customHeight="1" spans="1:15">
      <c r="A59" s="33"/>
      <c r="B59" s="34">
        <f t="shared" si="7"/>
        <v>0</v>
      </c>
      <c r="C59" s="35"/>
      <c r="D59" s="36"/>
      <c r="E59" s="37"/>
      <c r="F59" s="34">
        <f t="shared" si="8"/>
        <v>0</v>
      </c>
      <c r="G59" s="25"/>
      <c r="H59" s="22" t="s">
        <v>61</v>
      </c>
      <c r="I59" s="12">
        <v>8000</v>
      </c>
      <c r="J59" s="57" t="s">
        <v>64</v>
      </c>
      <c r="K59" s="60" t="s">
        <v>65</v>
      </c>
      <c r="L59" s="61"/>
      <c r="M59" s="62"/>
      <c r="N59" s="62"/>
      <c r="O59" s="61"/>
    </row>
    <row r="60" s="2" customFormat="1" ht="18" customHeight="1" spans="1:15">
      <c r="A60" s="33"/>
      <c r="B60" s="34">
        <f t="shared" si="7"/>
        <v>0</v>
      </c>
      <c r="C60" s="35"/>
      <c r="D60" s="36"/>
      <c r="E60" s="37"/>
      <c r="F60" s="34">
        <f t="shared" si="8"/>
        <v>0</v>
      </c>
      <c r="G60" s="25"/>
      <c r="H60" s="22" t="s">
        <v>61</v>
      </c>
      <c r="I60" s="12">
        <v>500</v>
      </c>
      <c r="J60" s="57" t="s">
        <v>56</v>
      </c>
      <c r="K60" s="60" t="s">
        <v>66</v>
      </c>
      <c r="L60" s="61"/>
      <c r="M60" s="62"/>
      <c r="N60" s="62"/>
      <c r="O60" s="61"/>
    </row>
    <row r="61" s="2" customFormat="1" ht="18" customHeight="1" spans="1:15">
      <c r="A61" s="33"/>
      <c r="B61" s="34">
        <f t="shared" si="7"/>
        <v>16000</v>
      </c>
      <c r="C61" s="35"/>
      <c r="D61" s="36"/>
      <c r="E61" s="37"/>
      <c r="F61" s="34">
        <f t="shared" si="8"/>
        <v>0</v>
      </c>
      <c r="G61" s="25">
        <f>16000</f>
        <v>16000</v>
      </c>
      <c r="H61" s="22" t="s">
        <v>61</v>
      </c>
      <c r="I61" s="12">
        <f>G61</f>
        <v>16000</v>
      </c>
      <c r="J61" s="57" t="s">
        <v>56</v>
      </c>
      <c r="K61" s="60" t="s">
        <v>59</v>
      </c>
      <c r="L61" s="61"/>
      <c r="M61" s="62"/>
      <c r="N61" s="62"/>
      <c r="O61" s="61"/>
    </row>
    <row r="62" s="1" customFormat="1" ht="18" customHeight="1" spans="1:15">
      <c r="A62" s="29" t="s">
        <v>22</v>
      </c>
      <c r="B62" s="47">
        <f>SUM(B16:B61)</f>
        <v>4941268.69</v>
      </c>
      <c r="C62" s="29"/>
      <c r="D62" s="48"/>
      <c r="E62" s="48"/>
      <c r="F62" s="49">
        <f>SUM(F16:F61)</f>
        <v>422013.91</v>
      </c>
      <c r="G62" s="50">
        <f>SUM(G16:G61)</f>
        <v>5363282.6</v>
      </c>
      <c r="H62" s="31"/>
      <c r="I62" s="29">
        <f>SUM(I16:I61)</f>
        <v>5418174.6</v>
      </c>
      <c r="J62" s="68"/>
      <c r="K62" s="48"/>
      <c r="L62" s="58"/>
      <c r="M62" s="57"/>
      <c r="N62" s="57"/>
      <c r="O62" s="58"/>
    </row>
    <row r="63" s="1" customFormat="1" ht="18" customHeight="1" spans="1:14">
      <c r="A63" s="51" t="s">
        <v>67</v>
      </c>
      <c r="B63" s="51">
        <f>B13-B62</f>
        <v>189673.762043371</v>
      </c>
      <c r="C63" s="51"/>
      <c r="D63" s="52"/>
      <c r="E63" s="52"/>
      <c r="F63" s="53"/>
      <c r="G63" s="51">
        <f>G13-G62</f>
        <v>236717.4</v>
      </c>
      <c r="H63" s="21" t="s">
        <v>68</v>
      </c>
      <c r="I63" s="29">
        <f>I13-I62</f>
        <v>181825.4</v>
      </c>
      <c r="K63" s="69"/>
      <c r="M63" s="70"/>
      <c r="N63" s="70"/>
    </row>
    <row r="64" s="4" customFormat="1" ht="18" customHeight="1" spans="1:15">
      <c r="A64" s="7" t="s">
        <v>69</v>
      </c>
      <c r="B64" s="6"/>
      <c r="C64" s="7"/>
      <c r="F64" s="6"/>
      <c r="G64" s="6"/>
      <c r="I64" s="6"/>
      <c r="J64" s="5"/>
      <c r="K64" s="1"/>
      <c r="L64" s="1"/>
      <c r="M64" s="1"/>
      <c r="N64" s="1"/>
      <c r="O64" s="1"/>
    </row>
    <row r="65" s="1" customFormat="1" ht="18" customHeight="1" spans="1:10">
      <c r="A65" s="21" t="s">
        <v>70</v>
      </c>
      <c r="B65" s="20" t="s">
        <v>71</v>
      </c>
      <c r="C65" s="58"/>
      <c r="D65" s="21" t="s">
        <v>70</v>
      </c>
      <c r="E65" s="19" t="s">
        <v>16</v>
      </c>
      <c r="F65" s="20" t="s">
        <v>71</v>
      </c>
      <c r="G65" s="20" t="s">
        <v>72</v>
      </c>
      <c r="H65" s="20" t="s">
        <v>74</v>
      </c>
      <c r="I65" s="20" t="s">
        <v>75</v>
      </c>
      <c r="J65" s="20" t="s">
        <v>76</v>
      </c>
    </row>
    <row r="66" s="1" customFormat="1" ht="18" customHeight="1" spans="1:10">
      <c r="A66" s="58" t="s">
        <v>77</v>
      </c>
      <c r="B66" s="17">
        <f>(B13-B62)*0.25</f>
        <v>47418.4405108427</v>
      </c>
      <c r="C66" s="58"/>
      <c r="D66" s="10" t="s">
        <v>78</v>
      </c>
      <c r="E66" s="57" t="s">
        <v>79</v>
      </c>
      <c r="F66" s="71">
        <f>F13-F62</f>
        <v>-55575.211084237</v>
      </c>
      <c r="G66" s="71">
        <v>0</v>
      </c>
      <c r="H66" s="71">
        <v>0</v>
      </c>
      <c r="I66" s="71">
        <v>0</v>
      </c>
      <c r="J66" s="71">
        <v>0</v>
      </c>
    </row>
    <row r="67" s="1" customFormat="1" ht="18" customHeight="1" spans="1:10">
      <c r="A67" s="58" t="s">
        <v>80</v>
      </c>
      <c r="B67" s="72"/>
      <c r="C67" s="58"/>
      <c r="D67" s="73" t="s">
        <v>81</v>
      </c>
      <c r="E67" s="14">
        <v>0.05</v>
      </c>
      <c r="F67" s="74">
        <f>F66*E67</f>
        <v>-2778.76055421185</v>
      </c>
      <c r="G67" s="74">
        <v>0</v>
      </c>
      <c r="H67" s="74">
        <v>0</v>
      </c>
      <c r="I67" s="74">
        <v>0</v>
      </c>
      <c r="J67" s="74">
        <v>0</v>
      </c>
    </row>
    <row r="68" s="1" customFormat="1" ht="18" customHeight="1" spans="1:10">
      <c r="A68" s="58" t="s">
        <v>82</v>
      </c>
      <c r="B68" s="72"/>
      <c r="C68" s="58"/>
      <c r="D68" s="73" t="s">
        <v>83</v>
      </c>
      <c r="E68" s="14">
        <v>0.03</v>
      </c>
      <c r="F68" s="74">
        <f>F66*E68</f>
        <v>-1667.25633252711</v>
      </c>
      <c r="G68" s="74">
        <v>0</v>
      </c>
      <c r="H68" s="74">
        <v>0</v>
      </c>
      <c r="I68" s="74">
        <v>0</v>
      </c>
      <c r="J68" s="74">
        <v>0</v>
      </c>
    </row>
    <row r="69" s="1" customFormat="1" ht="18" customHeight="1" spans="1:10">
      <c r="A69" s="58"/>
      <c r="B69" s="74"/>
      <c r="C69" s="58"/>
      <c r="D69" s="73" t="s">
        <v>84</v>
      </c>
      <c r="E69" s="14">
        <v>0.02</v>
      </c>
      <c r="F69" s="74">
        <f>F66*E69</f>
        <v>-1111.50422168474</v>
      </c>
      <c r="G69" s="74">
        <v>0</v>
      </c>
      <c r="H69" s="74">
        <v>0</v>
      </c>
      <c r="I69" s="74">
        <v>0</v>
      </c>
      <c r="J69" s="74">
        <v>0</v>
      </c>
    </row>
    <row r="70" s="1" customFormat="1" ht="18" customHeight="1" spans="1:10">
      <c r="A70" s="27" t="s">
        <v>85</v>
      </c>
      <c r="B70" s="75">
        <f>SUM(B66:B69)</f>
        <v>47418.4405108427</v>
      </c>
      <c r="C70" s="58"/>
      <c r="D70" s="27" t="s">
        <v>85</v>
      </c>
      <c r="E70" s="27"/>
      <c r="F70" s="76">
        <f>SUM(F66:F69)</f>
        <v>-61132.7321926607</v>
      </c>
      <c r="G70" s="74">
        <v>0</v>
      </c>
      <c r="H70" s="74">
        <v>0</v>
      </c>
      <c r="I70" s="74">
        <v>0</v>
      </c>
      <c r="J70" s="74">
        <v>0</v>
      </c>
    </row>
    <row r="71" s="1" customFormat="1" ht="18" customHeight="1" spans="1:10">
      <c r="A71" s="7"/>
      <c r="B71" s="6"/>
      <c r="C71" s="7"/>
      <c r="D71" s="12" t="s">
        <v>80</v>
      </c>
      <c r="E71" s="77">
        <v>0.0003</v>
      </c>
      <c r="F71" s="74">
        <f>G13*E71</f>
        <v>1680</v>
      </c>
      <c r="G71" s="74">
        <f>G7*E71</f>
        <v>240</v>
      </c>
      <c r="H71" s="74">
        <f>G8*E71</f>
        <v>180</v>
      </c>
      <c r="I71" s="74">
        <f>G9*E71</f>
        <v>885</v>
      </c>
      <c r="J71" s="74">
        <f>G10*E71</f>
        <v>375</v>
      </c>
    </row>
    <row r="72" s="1" customFormat="1" ht="18" customHeight="1" spans="1:10">
      <c r="A72" s="7"/>
      <c r="B72" s="6"/>
      <c r="C72" s="7"/>
      <c r="D72" s="12" t="s">
        <v>82</v>
      </c>
      <c r="E72" s="77">
        <v>0.0006</v>
      </c>
      <c r="F72" s="74">
        <f>B13*E72</f>
        <v>3078.56547122602</v>
      </c>
      <c r="G72" s="74">
        <f>B7*E72</f>
        <v>436.363636363636</v>
      </c>
      <c r="H72" s="74">
        <f>B8*E72</f>
        <v>330.275229357798</v>
      </c>
      <c r="I72" s="74">
        <f>B9*E72</f>
        <v>1623.85321100917</v>
      </c>
      <c r="J72" s="74">
        <f>B10*E72</f>
        <v>688.073394495413</v>
      </c>
    </row>
    <row r="73" s="1" customFormat="1" ht="18" customHeight="1" spans="1:10">
      <c r="A73" s="7"/>
      <c r="B73" s="6"/>
      <c r="C73" s="7"/>
      <c r="D73" s="29" t="s">
        <v>22</v>
      </c>
      <c r="E73" s="29"/>
      <c r="F73" s="78">
        <f>F70+F71+F72</f>
        <v>-56374.1667214346</v>
      </c>
      <c r="G73" s="78">
        <f>G70+G71+G72</f>
        <v>676.363636363636</v>
      </c>
      <c r="H73" s="78">
        <f t="shared" ref="H73:J73" si="9">H71+H72</f>
        <v>510.275229357798</v>
      </c>
      <c r="I73" s="78">
        <f t="shared" si="9"/>
        <v>2508.85321100917</v>
      </c>
      <c r="J73" s="78">
        <f t="shared" si="9"/>
        <v>1063.07339449541</v>
      </c>
    </row>
    <row r="74" s="1" customFormat="1" ht="18" customHeight="1" spans="1:10">
      <c r="A74" s="7"/>
      <c r="B74" s="6"/>
      <c r="C74" s="7"/>
      <c r="D74" s="4"/>
      <c r="E74" s="4"/>
      <c r="F74" s="6"/>
      <c r="G74" s="6"/>
      <c r="H74" s="79"/>
      <c r="I74" s="6"/>
      <c r="J74" s="5"/>
    </row>
    <row r="75" s="5" customFormat="1" ht="26" customHeight="1" spans="1:15">
      <c r="A75" s="7"/>
      <c r="B75" s="6"/>
      <c r="C75" s="7"/>
      <c r="D75" s="4"/>
      <c r="E75" s="4"/>
      <c r="F75" s="6"/>
      <c r="G75" s="6"/>
      <c r="H75" s="80"/>
      <c r="I75" s="6"/>
      <c r="K75" s="1"/>
      <c r="L75" s="1"/>
      <c r="M75" s="1"/>
      <c r="N75" s="1"/>
      <c r="O75" s="1"/>
    </row>
    <row r="76" s="6" customFormat="1" ht="26" customHeight="1" spans="1:15">
      <c r="A76" s="7"/>
      <c r="C76" s="7"/>
      <c r="D76" s="4"/>
      <c r="E76" s="4"/>
      <c r="H76" s="51"/>
      <c r="J76" s="5"/>
      <c r="K76" s="1"/>
      <c r="L76" s="1"/>
      <c r="M76" s="1"/>
      <c r="N76" s="1"/>
      <c r="O76" s="1"/>
    </row>
    <row r="77" s="4" customFormat="1" ht="33" customHeight="1" spans="1:15">
      <c r="A77" s="7"/>
      <c r="B77" s="6"/>
      <c r="C77" s="7"/>
      <c r="D77" s="15" t="s">
        <v>103</v>
      </c>
      <c r="E77" s="81" t="s">
        <v>70</v>
      </c>
      <c r="F77" s="82" t="s">
        <v>16</v>
      </c>
      <c r="G77" s="58"/>
      <c r="H77" s="82" t="s">
        <v>104</v>
      </c>
      <c r="M77" s="1"/>
      <c r="N77" s="1"/>
      <c r="O77" s="1"/>
    </row>
    <row r="78" s="4" customFormat="1" ht="33" customHeight="1" spans="1:15">
      <c r="A78" s="7"/>
      <c r="B78" s="6"/>
      <c r="C78" s="7"/>
      <c r="D78" s="15"/>
      <c r="E78" s="68" t="s">
        <v>77</v>
      </c>
      <c r="F78" s="70">
        <v>0.25</v>
      </c>
      <c r="G78" s="58"/>
      <c r="H78" s="58">
        <f>B63*F78-I49-I54</f>
        <v>-15388.5594891573</v>
      </c>
      <c r="M78" s="1"/>
      <c r="N78" s="1"/>
      <c r="O78" s="1"/>
    </row>
    <row r="79" s="1" customFormat="1" ht="33" customHeight="1" spans="1:8">
      <c r="A79" s="7"/>
      <c r="B79" s="6"/>
      <c r="C79" s="7"/>
      <c r="D79" s="15" t="s">
        <v>89</v>
      </c>
      <c r="E79" s="81" t="s">
        <v>70</v>
      </c>
      <c r="F79" s="19" t="s">
        <v>16</v>
      </c>
      <c r="G79" s="83" t="s">
        <v>105</v>
      </c>
      <c r="H79" s="83" t="s">
        <v>90</v>
      </c>
    </row>
    <row r="80" s="1" customFormat="1" ht="33" customHeight="1" spans="1:8">
      <c r="A80" s="7"/>
      <c r="B80" s="6"/>
      <c r="C80" s="7"/>
      <c r="D80" s="15"/>
      <c r="E80" s="84" t="s">
        <v>78</v>
      </c>
      <c r="F80" s="57" t="s">
        <v>79</v>
      </c>
      <c r="G80" s="71">
        <v>27748.4082735613</v>
      </c>
      <c r="H80" s="71">
        <v>35883.0589157632</v>
      </c>
    </row>
    <row r="81" s="1" customFormat="1" ht="33" customHeight="1" spans="1:8">
      <c r="A81" s="7"/>
      <c r="B81" s="6"/>
      <c r="C81" s="7"/>
      <c r="D81" s="15"/>
      <c r="E81" s="85" t="s">
        <v>81</v>
      </c>
      <c r="F81" s="14">
        <v>0.05</v>
      </c>
      <c r="G81" s="74">
        <v>1387.42041367806</v>
      </c>
      <c r="H81" s="74">
        <v>1794.15294578816</v>
      </c>
    </row>
    <row r="82" s="1" customFormat="1" ht="33" customHeight="1" spans="1:8">
      <c r="A82" s="7"/>
      <c r="B82" s="6"/>
      <c r="C82" s="7"/>
      <c r="D82" s="15"/>
      <c r="E82" s="85" t="s">
        <v>83</v>
      </c>
      <c r="F82" s="14">
        <v>0.03</v>
      </c>
      <c r="G82" s="74">
        <v>832.452248206839</v>
      </c>
      <c r="H82" s="74">
        <v>1076.49176747289</v>
      </c>
    </row>
    <row r="83" s="1" customFormat="1" ht="33" customHeight="1" spans="1:8">
      <c r="A83" s="7"/>
      <c r="B83" s="6"/>
      <c r="C83" s="7"/>
      <c r="D83" s="15"/>
      <c r="E83" s="85" t="s">
        <v>84</v>
      </c>
      <c r="F83" s="14">
        <v>0.02</v>
      </c>
      <c r="G83" s="74">
        <v>554.968165471226</v>
      </c>
      <c r="H83" s="74">
        <v>717.661178315263</v>
      </c>
    </row>
    <row r="84" s="1" customFormat="1" ht="33" customHeight="1" spans="1:8">
      <c r="A84" s="7"/>
      <c r="B84" s="6"/>
      <c r="C84" s="7"/>
      <c r="D84" s="15"/>
      <c r="E84" s="86" t="s">
        <v>85</v>
      </c>
      <c r="F84" s="27"/>
      <c r="G84" s="87">
        <v>30523.2491009174</v>
      </c>
      <c r="H84" s="76">
        <v>39471.3648073395</v>
      </c>
    </row>
    <row r="85" s="4" customFormat="1" ht="42" customHeight="1" spans="1:15">
      <c r="A85" s="7"/>
      <c r="B85" s="6"/>
      <c r="C85" s="7"/>
      <c r="F85" s="6"/>
      <c r="G85" s="6"/>
      <c r="I85" s="6"/>
      <c r="J85" s="5"/>
      <c r="K85" s="1"/>
      <c r="L85" s="1"/>
      <c r="M85" s="1"/>
      <c r="N85" s="1"/>
      <c r="O85" s="1"/>
    </row>
    <row r="86" s="4" customFormat="1" spans="1:15">
      <c r="A86" s="7"/>
      <c r="B86" s="6"/>
      <c r="C86" s="7"/>
      <c r="F86" s="6"/>
      <c r="G86" s="6"/>
      <c r="I86" s="6"/>
      <c r="J86" s="5"/>
      <c r="K86" s="1"/>
      <c r="L86" s="1"/>
      <c r="M86" s="1"/>
      <c r="N86" s="1"/>
      <c r="O86" s="1"/>
    </row>
    <row r="87" s="4" customFormat="1" spans="1:15">
      <c r="A87" s="7"/>
      <c r="B87" s="6"/>
      <c r="C87" s="7"/>
      <c r="F87" s="6"/>
      <c r="G87" s="6"/>
      <c r="I87" s="6"/>
      <c r="J87" s="5"/>
      <c r="K87" s="1"/>
      <c r="L87" s="1"/>
      <c r="M87" s="1"/>
      <c r="N87" s="1"/>
      <c r="O87" s="1"/>
    </row>
    <row r="88" s="4" customFormat="1" spans="1:15">
      <c r="A88" s="7"/>
      <c r="B88" s="6"/>
      <c r="C88" s="7"/>
      <c r="F88" s="6"/>
      <c r="G88" s="6"/>
      <c r="I88" s="6"/>
      <c r="J88" s="5"/>
      <c r="K88" s="1"/>
      <c r="L88" s="1"/>
      <c r="M88" s="1"/>
      <c r="N88" s="1"/>
      <c r="O88" s="1"/>
    </row>
    <row r="89" s="4" customFormat="1" spans="1:15">
      <c r="A89" s="7"/>
      <c r="B89" s="6"/>
      <c r="C89" s="7"/>
      <c r="F89" s="6"/>
      <c r="G89" s="6"/>
      <c r="I89" s="6"/>
      <c r="J89" s="5"/>
      <c r="K89" s="1"/>
      <c r="L89" s="1"/>
      <c r="M89" s="1"/>
      <c r="N89" s="1"/>
      <c r="O89" s="1"/>
    </row>
    <row r="90" s="4" customFormat="1" spans="1:15">
      <c r="A90" s="7"/>
      <c r="B90" s="6"/>
      <c r="C90" s="7"/>
      <c r="F90" s="6"/>
      <c r="G90" s="6"/>
      <c r="I90" s="6"/>
      <c r="J90" s="5"/>
      <c r="K90" s="1"/>
      <c r="L90" s="1"/>
      <c r="M90" s="1"/>
      <c r="N90" s="1"/>
      <c r="O90" s="1"/>
    </row>
    <row r="91" s="4" customFormat="1" spans="1:15">
      <c r="A91" s="7"/>
      <c r="B91" s="6"/>
      <c r="C91" s="7"/>
      <c r="F91" s="6"/>
      <c r="G91" s="6"/>
      <c r="I91" s="6"/>
      <c r="J91" s="5"/>
      <c r="K91" s="1"/>
      <c r="L91" s="1"/>
      <c r="M91" s="1"/>
      <c r="N91" s="1"/>
      <c r="O91" s="1"/>
    </row>
    <row r="92" s="4" customFormat="1" spans="1:15">
      <c r="A92" s="7"/>
      <c r="B92" s="6"/>
      <c r="C92" s="7"/>
      <c r="F92" s="6"/>
      <c r="G92" s="6"/>
      <c r="I92" s="6"/>
      <c r="J92" s="5"/>
      <c r="K92" s="1"/>
      <c r="L92" s="1"/>
      <c r="M92" s="1"/>
      <c r="N92" s="1"/>
      <c r="O92" s="1"/>
    </row>
    <row r="93" s="4" customFormat="1" spans="1:15">
      <c r="A93" s="7"/>
      <c r="B93" s="6"/>
      <c r="C93" s="7"/>
      <c r="F93" s="6"/>
      <c r="G93" s="6"/>
      <c r="I93" s="6"/>
      <c r="J93" s="5"/>
      <c r="K93" s="1"/>
      <c r="L93" s="1"/>
      <c r="M93" s="1"/>
      <c r="N93" s="1"/>
      <c r="O93" s="1"/>
    </row>
  </sheetData>
  <autoFilter ref="A15:O73">
    <extLst/>
  </autoFilter>
  <mergeCells count="10">
    <mergeCell ref="A1:J1"/>
    <mergeCell ref="H2:J2"/>
    <mergeCell ref="C5:D5"/>
    <mergeCell ref="E5:F5"/>
    <mergeCell ref="H5:J5"/>
    <mergeCell ref="A5:A6"/>
    <mergeCell ref="B5:B6"/>
    <mergeCell ref="D77:D78"/>
    <mergeCell ref="D79:D84"/>
    <mergeCell ref="G5:G6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1-3次</vt:lpstr>
      <vt:lpstr>4次</vt:lpstr>
      <vt:lpstr>Sheet1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2021-06-22T07:31:13Z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62B76F2C413944209D1E8352F30A5243</vt:lpwstr>
  </property>
</Properties>
</file>