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 activeTab="2"/>
  </bookViews>
  <sheets>
    <sheet name="增加部分C12813" sheetId="6" r:id="rId1"/>
    <sheet name="新" sheetId="5" r:id="rId2"/>
    <sheet name="供应商支付情况" sheetId="7" r:id="rId3"/>
    <sheet name="旧" sheetId="4" r:id="rId4"/>
  </sheets>
  <definedNames>
    <definedName name="_xlnm._FilterDatabase" localSheetId="3" hidden="1">旧!$A$13:$O$57</definedName>
    <definedName name="_xlnm._FilterDatabase" localSheetId="1" hidden="1">新!$A$14:$O$62</definedName>
    <definedName name="_xlnm._FilterDatabase" localSheetId="0" hidden="1">增加部分C12813!$A$11:$O$33</definedName>
  </definedNames>
  <calcPr calcId="144525"/>
  <pivotCaches>
    <pivotCache cacheId="4" r:id="rId5"/>
  </pivotCaches>
</workbook>
</file>

<file path=xl/calcChain.xml><?xml version="1.0" encoding="utf-8"?>
<calcChain xmlns="http://schemas.openxmlformats.org/spreadsheetml/2006/main">
  <c r="F57" i="4" l="1"/>
  <c r="F56" i="4"/>
  <c r="B56" i="4"/>
  <c r="F55" i="4"/>
  <c r="F54" i="4"/>
  <c r="F53" i="4"/>
  <c r="K52" i="4"/>
  <c r="F52" i="4"/>
  <c r="B52" i="4"/>
  <c r="I49" i="4"/>
  <c r="G49" i="4"/>
  <c r="B49" i="4"/>
  <c r="I48" i="4"/>
  <c r="G48" i="4"/>
  <c r="F48" i="4"/>
  <c r="B48" i="4"/>
  <c r="I47" i="4"/>
  <c r="G47" i="4"/>
  <c r="F47" i="4"/>
  <c r="B47" i="4"/>
  <c r="F46" i="4"/>
  <c r="B46" i="4"/>
  <c r="F45" i="4"/>
  <c r="B45" i="4"/>
  <c r="F44" i="4"/>
  <c r="B44" i="4"/>
  <c r="F43" i="4"/>
  <c r="B43" i="4"/>
  <c r="F42" i="4"/>
  <c r="B42" i="4"/>
  <c r="F41" i="4"/>
  <c r="B41" i="4"/>
  <c r="F40" i="4"/>
  <c r="B40" i="4"/>
  <c r="F39" i="4"/>
  <c r="B39" i="4"/>
  <c r="F38" i="4"/>
  <c r="B38" i="4"/>
  <c r="F37" i="4"/>
  <c r="B37" i="4"/>
  <c r="F36" i="4"/>
  <c r="B36" i="4"/>
  <c r="F35" i="4"/>
  <c r="B35" i="4"/>
  <c r="F34" i="4"/>
  <c r="B34" i="4"/>
  <c r="F33" i="4"/>
  <c r="B33" i="4"/>
  <c r="F32" i="4"/>
  <c r="B32" i="4"/>
  <c r="F31" i="4"/>
  <c r="B31" i="4"/>
  <c r="F30" i="4"/>
  <c r="B30" i="4"/>
  <c r="F29" i="4"/>
  <c r="B29" i="4"/>
  <c r="F28" i="4"/>
  <c r="B28" i="4"/>
  <c r="F27" i="4"/>
  <c r="B27" i="4"/>
  <c r="F26" i="4"/>
  <c r="B26" i="4"/>
  <c r="F25" i="4"/>
  <c r="B25" i="4"/>
  <c r="F24" i="4"/>
  <c r="B24" i="4"/>
  <c r="F22" i="4"/>
  <c r="B22" i="4"/>
  <c r="F21" i="4"/>
  <c r="B21" i="4"/>
  <c r="F20" i="4"/>
  <c r="B20" i="4"/>
  <c r="F18" i="4"/>
  <c r="B18" i="4"/>
  <c r="F17" i="4"/>
  <c r="B17" i="4"/>
  <c r="F16" i="4"/>
  <c r="B16" i="4"/>
  <c r="F15" i="4"/>
  <c r="B15" i="4"/>
  <c r="F14" i="4"/>
  <c r="B14" i="4"/>
  <c r="I11" i="4"/>
  <c r="G11" i="4"/>
  <c r="F11" i="4"/>
  <c r="D11" i="4"/>
  <c r="B11" i="4"/>
  <c r="F10" i="4"/>
  <c r="D10" i="4"/>
  <c r="B10" i="4"/>
  <c r="F9" i="4"/>
  <c r="D9" i="4"/>
  <c r="B9" i="4"/>
  <c r="D8" i="4"/>
  <c r="B8" i="4"/>
  <c r="D7" i="4"/>
  <c r="B7" i="4"/>
  <c r="G62" i="5"/>
  <c r="G61" i="5"/>
  <c r="G60" i="5"/>
  <c r="G59" i="5"/>
  <c r="G58" i="5"/>
  <c r="F58" i="5"/>
  <c r="G57" i="5"/>
  <c r="F57" i="5"/>
  <c r="B57" i="5"/>
  <c r="G56" i="5"/>
  <c r="F56" i="5"/>
  <c r="G55" i="5"/>
  <c r="F55" i="5"/>
  <c r="G54" i="5"/>
  <c r="F54" i="5"/>
  <c r="G53" i="5"/>
  <c r="F53" i="5"/>
  <c r="B53" i="5"/>
  <c r="I50" i="5"/>
  <c r="G50" i="5"/>
  <c r="B50" i="5"/>
  <c r="I49" i="5"/>
  <c r="G49" i="5"/>
  <c r="F49" i="5"/>
  <c r="B49" i="5"/>
  <c r="I48" i="5"/>
  <c r="G48" i="5"/>
  <c r="F48" i="5"/>
  <c r="B48" i="5"/>
  <c r="F47" i="5"/>
  <c r="B47" i="5"/>
  <c r="F46" i="5"/>
  <c r="B46" i="5"/>
  <c r="F45" i="5"/>
  <c r="B45" i="5"/>
  <c r="F44" i="5"/>
  <c r="B44" i="5"/>
  <c r="F43" i="5"/>
  <c r="B43" i="5"/>
  <c r="F42" i="5"/>
  <c r="B42" i="5"/>
  <c r="F41" i="5"/>
  <c r="B41" i="5"/>
  <c r="F40" i="5"/>
  <c r="B40" i="5"/>
  <c r="F39" i="5"/>
  <c r="B39" i="5"/>
  <c r="F38" i="5"/>
  <c r="B38" i="5"/>
  <c r="F36" i="5"/>
  <c r="B36" i="5"/>
  <c r="F35" i="5"/>
  <c r="B35" i="5"/>
  <c r="F34" i="5"/>
  <c r="B34" i="5"/>
  <c r="F33" i="5"/>
  <c r="B33" i="5"/>
  <c r="F32" i="5"/>
  <c r="B32" i="5"/>
  <c r="F31" i="5"/>
  <c r="B31" i="5"/>
  <c r="F30" i="5"/>
  <c r="B30" i="5"/>
  <c r="F29" i="5"/>
  <c r="B29" i="5"/>
  <c r="F28" i="5"/>
  <c r="B28" i="5"/>
  <c r="F27" i="5"/>
  <c r="B27" i="5"/>
  <c r="F26" i="5"/>
  <c r="B26" i="5"/>
  <c r="F25" i="5"/>
  <c r="B25" i="5"/>
  <c r="F23" i="5"/>
  <c r="B23" i="5"/>
  <c r="F22" i="5"/>
  <c r="B22" i="5"/>
  <c r="F21" i="5"/>
  <c r="B21" i="5"/>
  <c r="F19" i="5"/>
  <c r="B19" i="5"/>
  <c r="F18" i="5"/>
  <c r="B18" i="5"/>
  <c r="F17" i="5"/>
  <c r="B17" i="5"/>
  <c r="F16" i="5"/>
  <c r="B16" i="5"/>
  <c r="F15" i="5"/>
  <c r="B15" i="5"/>
  <c r="I12" i="5"/>
  <c r="G12" i="5"/>
  <c r="F12" i="5"/>
  <c r="D12" i="5"/>
  <c r="B12" i="5"/>
  <c r="F10" i="5"/>
  <c r="D10" i="5"/>
  <c r="B10" i="5"/>
  <c r="D9" i="5"/>
  <c r="B9" i="5"/>
  <c r="D8" i="5"/>
  <c r="B8" i="5"/>
  <c r="D7" i="5"/>
  <c r="B7" i="5"/>
  <c r="G33" i="6"/>
  <c r="G32" i="6"/>
  <c r="G31" i="6"/>
  <c r="G30" i="6"/>
  <c r="G29" i="6"/>
  <c r="F29" i="6"/>
  <c r="G28" i="6"/>
  <c r="F28" i="6"/>
  <c r="B28" i="6"/>
  <c r="G27" i="6"/>
  <c r="F27" i="6"/>
  <c r="G26" i="6"/>
  <c r="F26" i="6"/>
  <c r="G25" i="6"/>
  <c r="F25" i="6"/>
  <c r="G24" i="6"/>
  <c r="F24" i="6"/>
  <c r="B24" i="6"/>
  <c r="I21" i="6"/>
  <c r="G21" i="6"/>
  <c r="B21" i="6"/>
  <c r="I20" i="6"/>
  <c r="G20" i="6"/>
  <c r="F20" i="6"/>
  <c r="B20" i="6"/>
  <c r="F19" i="6"/>
  <c r="B19" i="6"/>
  <c r="F18" i="6"/>
  <c r="B18" i="6"/>
  <c r="F17" i="6"/>
  <c r="B17" i="6"/>
  <c r="F16" i="6"/>
  <c r="B16" i="6"/>
  <c r="F15" i="6"/>
  <c r="B15" i="6"/>
  <c r="F14" i="6"/>
  <c r="B14" i="6"/>
  <c r="F13" i="6"/>
  <c r="B13" i="6"/>
  <c r="F12" i="6"/>
  <c r="B12" i="6"/>
  <c r="I9" i="6"/>
  <c r="G9" i="6"/>
  <c r="F9" i="6"/>
  <c r="D9" i="6"/>
  <c r="B9" i="6"/>
  <c r="F7" i="6"/>
  <c r="D7" i="6"/>
  <c r="B7" i="6"/>
  <c r="D4" i="7"/>
  <c r="D5" i="7"/>
  <c r="D11" i="7"/>
  <c r="D6" i="7"/>
  <c r="D7" i="7"/>
  <c r="D9" i="7"/>
  <c r="D8" i="7"/>
  <c r="D10" i="7"/>
  <c r="D12" i="7"/>
  <c r="D3" i="7"/>
  <c r="D2" i="7"/>
</calcChain>
</file>

<file path=xl/comments1.xml><?xml version="1.0" encoding="utf-8"?>
<comments xmlns="http://schemas.openxmlformats.org/spreadsheetml/2006/main">
  <authors>
    <author>qyr</author>
    <author>cw05</author>
  </authors>
  <commentList>
    <comment ref="G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本次开票是项目补充                                   协议合同开票的</t>
        </r>
      </text>
    </comment>
    <comment ref="A25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B2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2020.4.26印花税及水利基金异地已交</t>
        </r>
      </text>
    </comment>
    <comment ref="A26" authorId="1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3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税金在后期工程款中扣除</t>
        </r>
      </text>
    </comment>
  </commentList>
</comments>
</file>

<file path=xl/comments2.xml><?xml version="1.0" encoding="utf-8"?>
<comments xmlns="http://schemas.openxmlformats.org/spreadsheetml/2006/main">
  <authors>
    <author>cw05</author>
    <author>qyr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B54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2020.4.26印花税及水利基金异地已交</t>
        </r>
      </text>
    </comment>
    <comment ref="A5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6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税金在后期工程款中扣除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G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<sst xmlns="http://schemas.openxmlformats.org/spreadsheetml/2006/main" count="452" uniqueCount="107">
  <si>
    <t>C12813  潜山县两昆路二期（黄柏段）公路工程（甲供材）</t>
  </si>
  <si>
    <t>中标日期</t>
  </si>
  <si>
    <t>中标价</t>
  </si>
  <si>
    <t>负责人</t>
  </si>
  <si>
    <t>程金胜</t>
  </si>
  <si>
    <t>建设单位</t>
  </si>
  <si>
    <t>潜山县黄柏镇人民政府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</si>
  <si>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</si>
  <si>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</si>
  <si>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</si>
  <si>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</si>
  <si>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</si>
  <si>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</si>
  <si>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</si>
  <si>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</si>
  <si>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</si>
  <si>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</si>
  <si>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</si>
  <si>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</si>
  <si>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</si>
  <si>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</si>
  <si>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</si>
  <si>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</si>
  <si>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</si>
  <si>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</si>
  <si>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</si>
  <si>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</si>
  <si>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</si>
  <si>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</si>
  <si>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</si>
  <si>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</si>
  <si>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</si>
  <si>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</si>
  <si>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</si>
  <si>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</si>
  <si>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</si>
  <si>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普代</t>
  </si>
  <si>
    <t>徐丹心</t>
  </si>
  <si>
    <t>工程费用</t>
  </si>
  <si>
    <t>有</t>
  </si>
  <si>
    <t>扣</t>
  </si>
  <si>
    <t>转账手续费</t>
  </si>
  <si>
    <t>外经证</t>
  </si>
  <si>
    <t>管理费</t>
  </si>
  <si>
    <t>4次</t>
  </si>
  <si>
    <t>增值税及附加、印花税、水利基金</t>
  </si>
  <si>
    <t>尚需提供成本</t>
  </si>
  <si>
    <t>可支付金额</t>
  </si>
  <si>
    <t>公司代缴税金：</t>
  </si>
  <si>
    <t>税种</t>
  </si>
  <si>
    <t>税额</t>
  </si>
  <si>
    <t>2020年7月开票税金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</si>
  <si>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</si>
  <si>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</si>
  <si>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</si>
  <si>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</si>
  <si>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</si>
  <si>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</si>
  <si>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</si>
  <si>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</si>
  <si>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</si>
  <si>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</si>
  <si>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潜山县两昆路二期（黄柏段）公路工程（甲供材）</t>
  </si>
  <si>
    <t>17-11-</t>
  </si>
  <si>
    <t>中行</t>
  </si>
  <si>
    <t>18-1--</t>
  </si>
  <si>
    <t>18-1-</t>
  </si>
  <si>
    <t>前期成本已提供够</t>
  </si>
  <si>
    <t>18年1月及以前</t>
  </si>
  <si>
    <t>人工</t>
  </si>
  <si>
    <t>项目部垫付工资</t>
  </si>
  <si>
    <t>2017-11-</t>
  </si>
  <si>
    <t>徽行</t>
  </si>
  <si>
    <t>水泥</t>
  </si>
  <si>
    <t>项目部垫付</t>
  </si>
  <si>
    <t>运输费</t>
  </si>
  <si>
    <t>2017-9-</t>
  </si>
  <si>
    <t>收代付材料款</t>
  </si>
  <si>
    <t>2017-6-</t>
  </si>
  <si>
    <t>安徽皖国建设项目管理有限公司</t>
  </si>
  <si>
    <t>招标代理服务费/清单编制费</t>
  </si>
  <si>
    <t>黄砂/石子</t>
  </si>
  <si>
    <t>安徽省潜山县恒远建材工贸有限公司</t>
  </si>
  <si>
    <t>付工资</t>
  </si>
  <si>
    <t>2018-2-</t>
  </si>
  <si>
    <t>石子</t>
  </si>
  <si>
    <t>黄砂</t>
  </si>
  <si>
    <t>18-2-</t>
  </si>
  <si>
    <t>徐基前</t>
  </si>
  <si>
    <t>石子/黄砂</t>
  </si>
  <si>
    <t>材料运输费</t>
  </si>
  <si>
    <t>徐险峰</t>
  </si>
  <si>
    <t>杨国平</t>
  </si>
  <si>
    <t>机械施工专业费</t>
  </si>
  <si>
    <t>冯益民</t>
  </si>
  <si>
    <t>陈凤兰</t>
  </si>
  <si>
    <t>劳务费</t>
  </si>
  <si>
    <t>仰孝平</t>
  </si>
  <si>
    <t>退</t>
  </si>
  <si>
    <t>损失准备金1%</t>
  </si>
  <si>
    <t>预留</t>
  </si>
  <si>
    <t>行标签</t>
  </si>
  <si>
    <t>(空白)</t>
  </si>
  <si>
    <t>总计</t>
  </si>
  <si>
    <t>求和项:价税合计</t>
  </si>
  <si>
    <t>求和项:付款金额</t>
  </si>
  <si>
    <t>未支付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</si>
</sst>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8" formatCode="#,##0_ "/>
    <numFmt numFmtId="179" formatCode="#,##0.00_ "/>
    <numFmt numFmtId="180" formatCode="0.00_ "/>
    <numFmt numFmtId="181" formatCode="yy/m/d;@"/>
    <numFmt numFmtId="182" formatCode="yyyy&quot;年&quot;m&quot;月&quot;;@"/>
  </numFmts>
  <fonts count="1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00B0F0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rgb="FFBCDDF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92">
    <xf numFmtId="0" fontId="0" fillId="0" borderId="0" xfId="0"/>
    <xf numFmtId="0" fontId="1" fillId="0" borderId="0" xfId="0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1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9" fontId="2" fillId="0" borderId="2" xfId="0" applyNumberFormat="1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180" fontId="2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vertical="center"/>
    </xf>
    <xf numFmtId="181" fontId="3" fillId="0" borderId="0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1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vertical="center"/>
    </xf>
    <xf numFmtId="9" fontId="2" fillId="0" borderId="2" xfId="2" applyFont="1" applyBorder="1" applyAlignment="1">
      <alignment horizontal="center" vertical="center"/>
    </xf>
    <xf numFmtId="180" fontId="2" fillId="0" borderId="2" xfId="0" applyNumberFormat="1" applyFont="1" applyFill="1" applyBorder="1" applyAlignment="1">
      <alignment vertical="center"/>
    </xf>
    <xf numFmtId="180" fontId="1" fillId="3" borderId="2" xfId="0" applyNumberFormat="1" applyFont="1" applyFill="1" applyBorder="1" applyAlignment="1">
      <alignment vertical="center"/>
    </xf>
    <xf numFmtId="181" fontId="5" fillId="0" borderId="2" xfId="0" applyNumberFormat="1" applyFont="1" applyBorder="1" applyAlignment="1">
      <alignment vertical="center"/>
    </xf>
    <xf numFmtId="180" fontId="5" fillId="4" borderId="2" xfId="0" applyNumberFormat="1" applyFont="1" applyFill="1" applyBorder="1" applyAlignment="1">
      <alignment vertical="center"/>
    </xf>
    <xf numFmtId="179" fontId="5" fillId="0" borderId="2" xfId="0" applyNumberFormat="1" applyFont="1" applyBorder="1" applyAlignment="1">
      <alignment vertical="center"/>
    </xf>
    <xf numFmtId="180" fontId="5" fillId="0" borderId="2" xfId="0" applyNumberFormat="1" applyFont="1" applyBorder="1" applyAlignment="1">
      <alignment vertical="center"/>
    </xf>
    <xf numFmtId="180" fontId="5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81" fontId="5" fillId="0" borderId="2" xfId="0" applyNumberFormat="1" applyFont="1" applyBorder="1" applyAlignment="1">
      <alignment horizontal="center" vertical="center"/>
    </xf>
    <xf numFmtId="182" fontId="1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2" applyFont="1" applyFill="1" applyBorder="1" applyAlignment="1">
      <alignment horizontal="center" vertical="center"/>
    </xf>
    <xf numFmtId="180" fontId="1" fillId="3" borderId="4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80" fontId="5" fillId="0" borderId="4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18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80" fontId="2" fillId="5" borderId="2" xfId="0" applyNumberFormat="1" applyFont="1" applyFill="1" applyBorder="1" applyAlignment="1">
      <alignment vertical="center"/>
    </xf>
    <xf numFmtId="180" fontId="2" fillId="0" borderId="2" xfId="0" applyNumberFormat="1" applyFont="1" applyBorder="1" applyAlignment="1">
      <alignment horizontal="right" vertical="center"/>
    </xf>
    <xf numFmtId="181" fontId="2" fillId="0" borderId="2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80" fontId="2" fillId="4" borderId="2" xfId="0" applyNumberFormat="1" applyFont="1" applyFill="1" applyBorder="1" applyAlignment="1">
      <alignment vertical="center"/>
    </xf>
    <xf numFmtId="180" fontId="7" fillId="0" borderId="2" xfId="0" applyNumberFormat="1" applyFont="1" applyBorder="1" applyAlignment="1">
      <alignment vertical="center"/>
    </xf>
    <xf numFmtId="10" fontId="1" fillId="0" borderId="2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79" fontId="9" fillId="7" borderId="3" xfId="0" applyNumberFormat="1" applyFont="1" applyFill="1" applyBorder="1" applyAlignment="1">
      <alignment horizontal="center" vertical="center" wrapText="1"/>
    </xf>
    <xf numFmtId="179" fontId="2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left" vertical="center" wrapText="1"/>
    </xf>
    <xf numFmtId="179" fontId="2" fillId="0" borderId="2" xfId="0" applyNumberFormat="1" applyFont="1" applyFill="1" applyBorder="1" applyAlignment="1">
      <alignment vertical="center"/>
    </xf>
    <xf numFmtId="179" fontId="1" fillId="3" borderId="2" xfId="0" applyNumberFormat="1" applyFont="1" applyFill="1" applyBorder="1" applyAlignment="1">
      <alignment vertical="center"/>
    </xf>
    <xf numFmtId="9" fontId="2" fillId="0" borderId="2" xfId="2" applyNumberFormat="1" applyFont="1" applyBorder="1" applyAlignment="1">
      <alignment horizontal="center" vertical="center"/>
    </xf>
    <xf numFmtId="179" fontId="5" fillId="4" borderId="2" xfId="0" applyNumberFormat="1" applyFont="1" applyFill="1" applyBorder="1" applyAlignment="1">
      <alignment vertical="center"/>
    </xf>
    <xf numFmtId="179" fontId="5" fillId="5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1" fillId="3" borderId="4" xfId="0" applyNumberFormat="1" applyFont="1" applyFill="1" applyBorder="1" applyAlignment="1">
      <alignment vertical="center"/>
    </xf>
    <xf numFmtId="181" fontId="1" fillId="0" borderId="2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vertical="center" wrapText="1"/>
    </xf>
    <xf numFmtId="179" fontId="2" fillId="7" borderId="2" xfId="0" applyNumberFormat="1" applyFont="1" applyFill="1" applyBorder="1" applyAlignment="1">
      <alignment vertical="center"/>
    </xf>
    <xf numFmtId="179" fontId="1" fillId="7" borderId="2" xfId="0" applyNumberFormat="1" applyFont="1" applyFill="1" applyBorder="1" applyAlignment="1">
      <alignment vertical="center"/>
    </xf>
    <xf numFmtId="179" fontId="8" fillId="0" borderId="2" xfId="0" applyNumberFormat="1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81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181" fontId="2" fillId="0" borderId="4" xfId="0" applyNumberFormat="1" applyFont="1" applyBorder="1" applyAlignment="1">
      <alignment horizontal="left" vertical="center"/>
    </xf>
    <xf numFmtId="180" fontId="2" fillId="0" borderId="5" xfId="0" applyNumberFormat="1" applyFont="1" applyBorder="1" applyAlignment="1">
      <alignment horizontal="left" vertical="center"/>
    </xf>
    <xf numFmtId="181" fontId="2" fillId="0" borderId="6" xfId="0" applyNumberFormat="1" applyFont="1" applyBorder="1" applyAlignment="1">
      <alignment horizontal="left" vertical="center"/>
    </xf>
    <xf numFmtId="179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1" applyFont="1" applyAlignment="1">
      <alignment horizontal="left" vertical="center"/>
    </xf>
    <xf numFmtId="43" fontId="0" fillId="0" borderId="0" xfId="1" applyFont="1" applyAlignment="1">
      <alignment horizontal="center" vertical="center"/>
    </xf>
  </cellXfs>
  <cellStyles count="4">
    <cellStyle name="百分比" xfId="2" builtinId="5"/>
    <cellStyle name="常规" xfId="0" builtinId="0"/>
    <cellStyle name="常规 2" xfId="3"/>
    <cellStyle name="千位分隔" xfId="1" builtinId="3"/>
  </cellStyles>
  <dxfs count="1">
    <dxf>
      <alignment vertical="center" readingOrder="0"/>
    </dxf>
  </dxfs>
  <tableStyles count="0" defaultTableStyle="TableStyleMedium2" defaultPivotStyle="PivotStyleLight16"/>
  <colors>
    <mruColors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微软用户" refreshedDate="45545.359841435187" createdVersion="4" refreshedVersion="4" minRefreshableVersion="3" recordCount="28">
  <cacheSource type="worksheet">
    <worksheetSource ref="A14:N42" sheet="新"/>
  </cacheSource>
  <cacheFields count="14">
    <cacheField name="认证日期" numFmtId="182">
      <sharedItems containsNonDate="0" containsDate="1" containsString="0" containsBlank="1" minDate="2017-09-01T00:00:00" maxDate="2020-08-02T00:00:00"/>
    </cacheField>
    <cacheField name="成本金额" numFmtId="179">
      <sharedItems containsString="0" containsBlank="1" containsNumber="1" minValue="0" maxValue="1500000"/>
    </cacheField>
    <cacheField name="份数" numFmtId="178">
      <sharedItems containsNonDate="0" containsString="0" containsBlank="1"/>
    </cacheField>
    <cacheField name="类型" numFmtId="0">
      <sharedItems containsBlank="1"/>
    </cacheField>
    <cacheField name="税率" numFmtId="9">
      <sharedItems containsNonDate="0" containsString="0" containsBlank="1"/>
    </cacheField>
    <cacheField name="进项税额" numFmtId="179">
      <sharedItems containsString="0" containsBlank="1" containsNumber="1" containsInteger="1" minValue="0" maxValue="0"/>
    </cacheField>
    <cacheField name="价税合计" numFmtId="179">
      <sharedItems containsString="0" containsBlank="1" containsNumber="1" minValue="75303.08" maxValue="1500000" count="15">
        <n v="198800"/>
        <n v="197680"/>
        <n v="197540"/>
        <n v="96210"/>
        <n v="900000"/>
        <m/>
        <n v="128700"/>
        <n v="1500000"/>
        <n v="800002.35"/>
        <n v="210140"/>
        <n v="500000"/>
        <n v="1000000"/>
        <n v="200006.2"/>
        <n v="1125813.05"/>
        <n v="75303.08"/>
      </sharedItems>
    </cacheField>
    <cacheField name="付款日期" numFmtId="181">
      <sharedItems containsDate="1" containsBlank="1" containsMixedTypes="1" minDate="2019-02-02T00:00:00" maxDate="2020-08-29T00:00:00"/>
    </cacheField>
    <cacheField name="付款金额" numFmtId="179">
      <sharedItems containsString="0" containsBlank="1" containsNumber="1" minValue="-128700" maxValue="1900000" count="16">
        <m/>
        <n v="28000"/>
        <n v="500000"/>
        <n v="900000"/>
        <n v="-128700"/>
        <n v="128700"/>
        <n v="307837.65000000002"/>
        <n v="800002.35"/>
        <n v="776160"/>
        <n v="497293.8"/>
        <n v="420700"/>
        <n v="1000000"/>
        <n v="200006.2"/>
        <n v="1900000"/>
        <n v="1083517.78"/>
        <n v="42049"/>
      </sharedItems>
    </cacheField>
    <cacheField name="银行" numFmtId="0">
      <sharedItems containsBlank="1"/>
    </cacheField>
    <cacheField name="销货单位" numFmtId="0">
      <sharedItems containsBlank="1" count="11">
        <s v="程金胜"/>
        <s v="安徽皖国建设项目管理有限公司"/>
        <s v="安徽省潜山县恒远建材工贸有限公司"/>
        <s v="徐基前"/>
        <s v="徐险峰"/>
        <s v="杨国平"/>
        <s v="冯益民"/>
        <s v="陈凤兰"/>
        <s v="仰孝平"/>
        <s v="徐丹心"/>
        <m/>
      </sharedItems>
    </cacheField>
    <cacheField name="货物" numFmtId="0">
      <sharedItems containsBlank="1"/>
    </cacheField>
    <cacheField name="合同" numFmtId="0">
      <sharedItems containsBlank="1"/>
    </cacheField>
    <cacheField name="发货单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d v="2017-09-01T00:00:00"/>
    <n v="198800"/>
    <m/>
    <m/>
    <m/>
    <n v="0"/>
    <x v="0"/>
    <m/>
    <x v="0"/>
    <m/>
    <x v="0"/>
    <s v="人工"/>
    <m/>
    <m/>
  </r>
  <r>
    <d v="2017-09-01T00:00:00"/>
    <n v="197680"/>
    <m/>
    <m/>
    <m/>
    <n v="0"/>
    <x v="1"/>
    <m/>
    <x v="0"/>
    <m/>
    <x v="0"/>
    <s v="人工"/>
    <m/>
    <m/>
  </r>
  <r>
    <d v="2017-10-01T00:00:00"/>
    <n v="197540"/>
    <m/>
    <m/>
    <m/>
    <n v="0"/>
    <x v="2"/>
    <m/>
    <x v="1"/>
    <m/>
    <x v="0"/>
    <s v="人工"/>
    <m/>
    <m/>
  </r>
  <r>
    <d v="2017-11-01T00:00:00"/>
    <n v="96210"/>
    <m/>
    <m/>
    <m/>
    <n v="0"/>
    <x v="3"/>
    <s v="2017-11-"/>
    <x v="2"/>
    <s v="徽行"/>
    <x v="0"/>
    <s v="水泥"/>
    <m/>
    <m/>
  </r>
  <r>
    <d v="2017-11-01T00:00:00"/>
    <n v="900000"/>
    <m/>
    <m/>
    <m/>
    <n v="0"/>
    <x v="4"/>
    <s v="2017-11-"/>
    <x v="3"/>
    <s v="徽行"/>
    <x v="0"/>
    <s v="运输费"/>
    <m/>
    <m/>
  </r>
  <r>
    <m/>
    <m/>
    <m/>
    <m/>
    <m/>
    <m/>
    <x v="5"/>
    <s v="2017-9-"/>
    <x v="4"/>
    <s v="徽行"/>
    <x v="0"/>
    <m/>
    <m/>
    <m/>
  </r>
  <r>
    <d v="2017-11-01T00:00:00"/>
    <n v="128700"/>
    <m/>
    <m/>
    <m/>
    <n v="0"/>
    <x v="6"/>
    <s v="2017-6-"/>
    <x v="5"/>
    <s v="中行"/>
    <x v="1"/>
    <s v="招标代理服务费/清单编制费"/>
    <m/>
    <m/>
  </r>
  <r>
    <d v="2017-11-01T00:00:00"/>
    <n v="1500000"/>
    <m/>
    <m/>
    <m/>
    <n v="0"/>
    <x v="7"/>
    <s v="2017-11-"/>
    <x v="6"/>
    <s v="徽行"/>
    <x v="0"/>
    <s v="黄砂/石子"/>
    <m/>
    <m/>
  </r>
  <r>
    <d v="2017-11-01T00:00:00"/>
    <n v="800002.35"/>
    <m/>
    <m/>
    <m/>
    <n v="0"/>
    <x v="8"/>
    <s v="2017-11-"/>
    <x v="7"/>
    <s v="中行"/>
    <x v="2"/>
    <s v="水泥"/>
    <m/>
    <m/>
  </r>
  <r>
    <m/>
    <m/>
    <m/>
    <m/>
    <m/>
    <m/>
    <x v="5"/>
    <s v="2017-11-"/>
    <x v="8"/>
    <s v="徽行"/>
    <x v="0"/>
    <s v="付工资"/>
    <m/>
    <m/>
  </r>
  <r>
    <d v="2017-11-01T00:00:00"/>
    <n v="210140"/>
    <m/>
    <m/>
    <m/>
    <n v="0"/>
    <x v="9"/>
    <s v="2018-2-"/>
    <x v="9"/>
    <s v="徽行"/>
    <x v="0"/>
    <s v="人工"/>
    <m/>
    <m/>
  </r>
  <r>
    <d v="2017-12-01T00:00:00"/>
    <n v="500000"/>
    <m/>
    <m/>
    <m/>
    <n v="0"/>
    <x v="10"/>
    <s v="2017-11-"/>
    <x v="2"/>
    <s v="徽行"/>
    <x v="0"/>
    <s v="石子"/>
    <m/>
    <m/>
  </r>
  <r>
    <d v="2017-12-01T00:00:00"/>
    <n v="500000"/>
    <m/>
    <m/>
    <m/>
    <n v="0"/>
    <x v="10"/>
    <s v="2017-11-"/>
    <x v="2"/>
    <s v="徽行"/>
    <x v="0"/>
    <s v="黄砂"/>
    <m/>
    <m/>
  </r>
  <r>
    <d v="2017-12-01T00:00:00"/>
    <n v="500000"/>
    <m/>
    <m/>
    <m/>
    <n v="0"/>
    <x v="10"/>
    <s v="18-2-"/>
    <x v="10"/>
    <s v="徽行"/>
    <x v="3"/>
    <s v="石子/黄砂"/>
    <m/>
    <m/>
  </r>
  <r>
    <d v="2018-01-18T00:00:00"/>
    <n v="1000000"/>
    <m/>
    <m/>
    <m/>
    <n v="0"/>
    <x v="11"/>
    <s v="18-2-"/>
    <x v="11"/>
    <s v="中行"/>
    <x v="0"/>
    <s v="黄砂/石子"/>
    <m/>
    <m/>
  </r>
  <r>
    <d v="2018-02-01T00:00:00"/>
    <n v="200006.2"/>
    <m/>
    <m/>
    <m/>
    <n v="0"/>
    <x v="12"/>
    <s v="18-2-"/>
    <x v="12"/>
    <s v="中行"/>
    <x v="2"/>
    <s v="水泥"/>
    <m/>
    <m/>
  </r>
  <r>
    <d v="2018-02-01T00:00:00"/>
    <n v="900000"/>
    <m/>
    <m/>
    <m/>
    <n v="0"/>
    <x v="4"/>
    <m/>
    <x v="0"/>
    <s v="中行"/>
    <x v="0"/>
    <s v="材料运输费"/>
    <m/>
    <m/>
  </r>
  <r>
    <m/>
    <n v="0"/>
    <m/>
    <m/>
    <m/>
    <n v="0"/>
    <x v="5"/>
    <s v="18-2-"/>
    <x v="13"/>
    <s v="徽行"/>
    <x v="4"/>
    <m/>
    <m/>
    <m/>
  </r>
  <r>
    <d v="2019-01-01T00:00:00"/>
    <n v="1000000"/>
    <m/>
    <s v="普代"/>
    <m/>
    <n v="0"/>
    <x v="11"/>
    <d v="2019-02-02T00:00:00"/>
    <x v="11"/>
    <s v="徽行"/>
    <x v="5"/>
    <s v="机械施工专业费"/>
    <m/>
    <m/>
  </r>
  <r>
    <d v="2019-01-01T00:00:00"/>
    <n v="1125813.05"/>
    <m/>
    <s v="普代"/>
    <m/>
    <n v="0"/>
    <x v="13"/>
    <d v="2019-02-02T00:00:00"/>
    <x v="14"/>
    <s v="徽行"/>
    <x v="6"/>
    <s v="机械施工专业费"/>
    <m/>
    <m/>
  </r>
  <r>
    <d v="2019-01-01T00:00:00"/>
    <n v="1000000"/>
    <m/>
    <s v="普代"/>
    <m/>
    <n v="0"/>
    <x v="11"/>
    <d v="2019-02-02T00:00:00"/>
    <x v="11"/>
    <s v="徽行"/>
    <x v="7"/>
    <s v="劳务费"/>
    <m/>
    <m/>
  </r>
  <r>
    <d v="2019-01-01T00:00:00"/>
    <n v="1000000"/>
    <m/>
    <s v="普代"/>
    <m/>
    <n v="0"/>
    <x v="11"/>
    <d v="2019-02-02T00:00:00"/>
    <x v="11"/>
    <s v="徽行"/>
    <x v="8"/>
    <s v="劳务费"/>
    <m/>
    <m/>
  </r>
  <r>
    <d v="2020-08-01T00:00:00"/>
    <n v="75303.08"/>
    <m/>
    <s v="普代"/>
    <m/>
    <n v="0"/>
    <x v="14"/>
    <m/>
    <x v="0"/>
    <m/>
    <x v="9"/>
    <s v="工程费用"/>
    <s v="有"/>
    <m/>
  </r>
  <r>
    <m/>
    <n v="0"/>
    <m/>
    <m/>
    <m/>
    <n v="0"/>
    <x v="5"/>
    <d v="2020-08-28T00:00:00"/>
    <x v="15"/>
    <m/>
    <x v="9"/>
    <m/>
    <m/>
    <m/>
  </r>
  <r>
    <m/>
    <n v="0"/>
    <m/>
    <m/>
    <m/>
    <n v="0"/>
    <x v="5"/>
    <m/>
    <x v="0"/>
    <m/>
    <x v="10"/>
    <m/>
    <m/>
    <m/>
  </r>
  <r>
    <m/>
    <n v="0"/>
    <m/>
    <m/>
    <m/>
    <n v="0"/>
    <x v="5"/>
    <m/>
    <x v="0"/>
    <m/>
    <x v="10"/>
    <m/>
    <m/>
    <m/>
  </r>
  <r>
    <m/>
    <n v="0"/>
    <m/>
    <m/>
    <m/>
    <n v="0"/>
    <x v="5"/>
    <m/>
    <x v="0"/>
    <m/>
    <x v="10"/>
    <m/>
    <m/>
    <m/>
  </r>
  <r>
    <m/>
    <n v="0"/>
    <m/>
    <m/>
    <m/>
    <n v="0"/>
    <x v="5"/>
    <m/>
    <x v="0"/>
    <m/>
    <x v="1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4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1:C13" firstHeaderRow="0" firstDataRow="1" firstDataCol="1"/>
  <pivotFields count="14">
    <pivotField showAll="0"/>
    <pivotField showAll="0"/>
    <pivotField showAll="0"/>
    <pivotField showAll="0"/>
    <pivotField showAll="0"/>
    <pivotField showAll="0"/>
    <pivotField dataField="1" showAll="0">
      <items count="16">
        <item x="14"/>
        <item x="3"/>
        <item x="6"/>
        <item x="2"/>
        <item x="1"/>
        <item x="0"/>
        <item x="12"/>
        <item x="9"/>
        <item x="10"/>
        <item x="8"/>
        <item x="4"/>
        <item x="11"/>
        <item x="13"/>
        <item x="7"/>
        <item x="5"/>
        <item t="default"/>
      </items>
    </pivotField>
    <pivotField showAll="0"/>
    <pivotField dataField="1" showAll="0">
      <items count="17">
        <item x="4"/>
        <item x="1"/>
        <item x="15"/>
        <item x="5"/>
        <item x="12"/>
        <item x="6"/>
        <item x="10"/>
        <item x="9"/>
        <item x="2"/>
        <item x="8"/>
        <item x="7"/>
        <item x="3"/>
        <item x="11"/>
        <item x="14"/>
        <item x="13"/>
        <item x="0"/>
        <item t="default"/>
      </items>
    </pivotField>
    <pivotField showAll="0"/>
    <pivotField axis="axisRow" showAll="0">
      <items count="12">
        <item x="2"/>
        <item x="1"/>
        <item x="7"/>
        <item x="0"/>
        <item x="6"/>
        <item x="9"/>
        <item x="3"/>
        <item x="4"/>
        <item x="5"/>
        <item x="8"/>
        <item x="10"/>
        <item t="default"/>
      </items>
    </pivotField>
    <pivotField showAll="0"/>
    <pivotField showAll="0"/>
    <pivotField showAll="0"/>
  </pivotFields>
  <rowFields count="1">
    <field x="1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10" baseItem="0"/>
    <dataField name="求和项:付款金额" fld="8" baseField="1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9"/>
  <sheetViews>
    <sheetView workbookViewId="0">
      <selection activeCell="M12" sqref="M12"/>
    </sheetView>
  </sheetViews>
  <sheetFormatPr defaultColWidth="9" defaultRowHeight="11.25" x14ac:dyDescent="0.1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10.875" style="6" customWidth="1"/>
    <col min="16" max="16" width="16.875" style="6" customWidth="1"/>
    <col min="17" max="16384" width="9" style="6"/>
  </cols>
  <sheetData>
    <row r="1" spans="1:15" ht="21.95" customHeight="1" x14ac:dyDescent="0.15">
      <c r="A1" s="80" t="s">
        <v>0</v>
      </c>
      <c r="B1" s="80"/>
      <c r="C1" s="80"/>
      <c r="D1" s="80"/>
      <c r="E1" s="80"/>
      <c r="F1" s="81"/>
      <c r="G1" s="81"/>
      <c r="H1" s="80"/>
      <c r="I1" s="81"/>
      <c r="J1" s="80"/>
      <c r="K1" s="15"/>
      <c r="L1" s="15"/>
    </row>
    <row r="2" spans="1:15" ht="18" customHeight="1" x14ac:dyDescent="0.15">
      <c r="A2" s="7" t="s">
        <v>1</v>
      </c>
      <c r="B2" s="8">
        <v>42895</v>
      </c>
      <c r="C2" s="9" t="s">
        <v>2</v>
      </c>
      <c r="D2" s="60">
        <v>12755206.279999999</v>
      </c>
      <c r="E2" s="61" t="s">
        <v>3</v>
      </c>
      <c r="F2" s="62" t="s">
        <v>4</v>
      </c>
      <c r="G2" s="13" t="s">
        <v>5</v>
      </c>
      <c r="H2" s="82" t="s">
        <v>6</v>
      </c>
      <c r="I2" s="83"/>
      <c r="J2" s="84"/>
      <c r="K2" s="15"/>
      <c r="L2" s="15"/>
    </row>
    <row r="3" spans="1:15" ht="18" customHeight="1" x14ac:dyDescent="0.15">
      <c r="A3" s="7" t="s">
        <v>7</v>
      </c>
      <c r="B3" s="14"/>
      <c r="C3" s="9" t="s">
        <v>8</v>
      </c>
      <c r="D3" s="26">
        <v>13378750.58</v>
      </c>
      <c r="H3" s="15"/>
      <c r="I3" s="46"/>
      <c r="J3" s="15"/>
      <c r="K3" s="15"/>
      <c r="L3" s="15"/>
    </row>
    <row r="4" spans="1:15" ht="18" customHeight="1" x14ac:dyDescent="0.15">
      <c r="A4" s="2" t="s">
        <v>9</v>
      </c>
      <c r="H4" s="15"/>
      <c r="I4" s="46"/>
      <c r="J4" s="15"/>
      <c r="K4" s="15"/>
      <c r="L4" s="15"/>
    </row>
    <row r="5" spans="1:15" ht="18" customHeight="1" x14ac:dyDescent="0.15">
      <c r="A5" s="85" t="s">
        <v>10</v>
      </c>
      <c r="B5" s="86" t="s">
        <v>11</v>
      </c>
      <c r="C5" s="85" t="s">
        <v>12</v>
      </c>
      <c r="D5" s="85"/>
      <c r="E5" s="85" t="s">
        <v>13</v>
      </c>
      <c r="F5" s="86"/>
      <c r="G5" s="86" t="s">
        <v>14</v>
      </c>
      <c r="H5" s="87" t="s">
        <v>15</v>
      </c>
      <c r="I5" s="86"/>
      <c r="J5" s="87"/>
    </row>
    <row r="6" spans="1:15" ht="18" customHeight="1" x14ac:dyDescent="0.15">
      <c r="A6" s="85"/>
      <c r="B6" s="86"/>
      <c r="C6" s="16" t="s">
        <v>16</v>
      </c>
      <c r="D6" s="16" t="s">
        <v>17</v>
      </c>
      <c r="E6" s="16" t="s">
        <v>16</v>
      </c>
      <c r="F6" s="17" t="s">
        <v>17</v>
      </c>
      <c r="G6" s="86"/>
      <c r="H6" s="18" t="s">
        <v>18</v>
      </c>
      <c r="I6" s="17" t="s">
        <v>19</v>
      </c>
      <c r="J6" s="18" t="s">
        <v>20</v>
      </c>
    </row>
    <row r="7" spans="1:15" ht="18" customHeight="1" x14ac:dyDescent="0.15">
      <c r="A7" s="19">
        <v>44042</v>
      </c>
      <c r="B7" s="9">
        <f>G7/(1+C7+E7)</f>
        <v>613704.15596330306</v>
      </c>
      <c r="C7" s="65">
        <v>0</v>
      </c>
      <c r="D7" s="63">
        <f>G7/(1+E7+C7)*C7</f>
        <v>0</v>
      </c>
      <c r="E7" s="65">
        <v>0.09</v>
      </c>
      <c r="F7" s="9">
        <f>G7/(1+C7+E7)*E7</f>
        <v>55233.374036697198</v>
      </c>
      <c r="G7" s="64">
        <v>668937.53</v>
      </c>
      <c r="H7" s="19">
        <v>44047</v>
      </c>
      <c r="I7" s="9">
        <v>668937.53</v>
      </c>
      <c r="J7" s="42" t="s">
        <v>21</v>
      </c>
    </row>
    <row r="8" spans="1:15" ht="18" customHeight="1" x14ac:dyDescent="0.15">
      <c r="A8" s="19"/>
      <c r="B8" s="9"/>
      <c r="C8" s="21"/>
      <c r="D8" s="63"/>
      <c r="E8" s="21"/>
      <c r="F8" s="9"/>
      <c r="G8" s="64"/>
      <c r="H8" s="19"/>
      <c r="I8" s="9"/>
      <c r="J8" s="42"/>
    </row>
    <row r="9" spans="1:15" ht="18" customHeight="1" x14ac:dyDescent="0.15">
      <c r="A9" s="24" t="s">
        <v>22</v>
      </c>
      <c r="B9" s="66">
        <f>SUM(B7:B7)</f>
        <v>613704.15596330306</v>
      </c>
      <c r="C9" s="26"/>
      <c r="D9" s="26">
        <f>SUM(D7:D7)</f>
        <v>0</v>
      </c>
      <c r="E9" s="26"/>
      <c r="F9" s="67">
        <f>SUM(F7:F7)</f>
        <v>55233.374036697198</v>
      </c>
      <c r="G9" s="26">
        <f>SUM(G7:G7)</f>
        <v>668937.53</v>
      </c>
      <c r="H9" s="29"/>
      <c r="I9" s="26">
        <f>SUM(I7:I7)</f>
        <v>668937.53</v>
      </c>
      <c r="J9" s="29"/>
    </row>
    <row r="10" spans="1:15" ht="18" customHeight="1" x14ac:dyDescent="0.15">
      <c r="A10" s="2" t="s">
        <v>23</v>
      </c>
      <c r="J10" s="4"/>
      <c r="K10" s="4"/>
      <c r="L10" s="5"/>
    </row>
    <row r="11" spans="1:15" ht="18" customHeight="1" x14ac:dyDescent="0.15">
      <c r="A11" s="30" t="s">
        <v>24</v>
      </c>
      <c r="B11" s="17" t="s">
        <v>25</v>
      </c>
      <c r="C11" s="16" t="s">
        <v>26</v>
      </c>
      <c r="D11" s="16" t="s">
        <v>27</v>
      </c>
      <c r="E11" s="16" t="s">
        <v>16</v>
      </c>
      <c r="F11" s="17" t="s">
        <v>28</v>
      </c>
      <c r="G11" s="17" t="s">
        <v>14</v>
      </c>
      <c r="H11" s="16" t="s">
        <v>29</v>
      </c>
      <c r="I11" s="17" t="s">
        <v>30</v>
      </c>
      <c r="J11" s="16" t="s">
        <v>20</v>
      </c>
      <c r="K11" s="48" t="s">
        <v>31</v>
      </c>
      <c r="L11" s="18" t="s">
        <v>32</v>
      </c>
      <c r="M11" s="18" t="s">
        <v>33</v>
      </c>
      <c r="N11" s="18" t="s">
        <v>34</v>
      </c>
      <c r="O11" s="18" t="s">
        <v>35</v>
      </c>
    </row>
    <row r="12" spans="1:15" s="1" customFormat="1" ht="18" customHeight="1" x14ac:dyDescent="0.15">
      <c r="A12" s="31">
        <v>44044</v>
      </c>
      <c r="B12" s="68">
        <f>ROUND(G12/(1+E12),2)</f>
        <v>655558.78</v>
      </c>
      <c r="C12" s="32"/>
      <c r="D12" s="33" t="s">
        <v>36</v>
      </c>
      <c r="E12" s="34"/>
      <c r="F12" s="68">
        <f>ROUND(G12/(1+E12)*E12,2)</f>
        <v>0</v>
      </c>
      <c r="G12" s="69">
        <v>655558.78</v>
      </c>
      <c r="H12" s="19"/>
      <c r="I12" s="9"/>
      <c r="J12" s="55"/>
      <c r="K12" s="49" t="s">
        <v>37</v>
      </c>
      <c r="L12" s="50" t="s">
        <v>38</v>
      </c>
      <c r="M12" s="51" t="s">
        <v>39</v>
      </c>
      <c r="N12" s="51"/>
      <c r="O12" s="50"/>
    </row>
    <row r="13" spans="1:15" s="1" customFormat="1" ht="18" customHeight="1" x14ac:dyDescent="0.15">
      <c r="A13" s="31"/>
      <c r="B13" s="68">
        <f t="shared" ref="B13:B19" si="0">ROUND(G13/(1+E13),2)</f>
        <v>0</v>
      </c>
      <c r="C13" s="32"/>
      <c r="D13" s="33"/>
      <c r="E13" s="34"/>
      <c r="F13" s="68">
        <f t="shared" ref="F13:F19" si="1">ROUND(G13/(1+E13)*E13,2)</f>
        <v>0</v>
      </c>
      <c r="G13" s="69"/>
      <c r="H13" s="19">
        <v>44064</v>
      </c>
      <c r="I13" s="9">
        <v>592528.5</v>
      </c>
      <c r="J13" s="55"/>
      <c r="K13" s="79" t="s">
        <v>37</v>
      </c>
      <c r="L13" s="50"/>
      <c r="M13" s="51"/>
      <c r="N13" s="51"/>
      <c r="O13" s="50"/>
    </row>
    <row r="14" spans="1:15" s="1" customFormat="1" ht="18" customHeight="1" x14ac:dyDescent="0.15">
      <c r="A14" s="31"/>
      <c r="B14" s="68">
        <f t="shared" si="0"/>
        <v>0</v>
      </c>
      <c r="C14" s="32"/>
      <c r="D14" s="33"/>
      <c r="E14" s="34"/>
      <c r="F14" s="68">
        <f t="shared" si="1"/>
        <v>0</v>
      </c>
      <c r="G14" s="69"/>
      <c r="H14" s="19"/>
      <c r="I14" s="9"/>
      <c r="J14" s="55"/>
      <c r="K14" s="49"/>
      <c r="L14" s="50"/>
      <c r="M14" s="51"/>
      <c r="N14" s="51"/>
      <c r="O14" s="50"/>
    </row>
    <row r="15" spans="1:15" s="1" customFormat="1" ht="18" customHeight="1" x14ac:dyDescent="0.15">
      <c r="A15" s="31"/>
      <c r="B15" s="68">
        <f t="shared" si="0"/>
        <v>0</v>
      </c>
      <c r="C15" s="32"/>
      <c r="D15" s="33"/>
      <c r="E15" s="34"/>
      <c r="F15" s="68">
        <f t="shared" si="1"/>
        <v>0</v>
      </c>
      <c r="G15" s="69"/>
      <c r="H15" s="19"/>
      <c r="I15" s="9"/>
      <c r="J15" s="55"/>
      <c r="K15" s="49"/>
      <c r="L15" s="50"/>
      <c r="M15" s="51"/>
      <c r="N15" s="51"/>
      <c r="O15" s="50"/>
    </row>
    <row r="16" spans="1:15" s="1" customFormat="1" ht="18" customHeight="1" x14ac:dyDescent="0.15">
      <c r="A16" s="31"/>
      <c r="B16" s="68">
        <f t="shared" si="0"/>
        <v>0</v>
      </c>
      <c r="C16" s="32"/>
      <c r="D16" s="33"/>
      <c r="E16" s="34"/>
      <c r="F16" s="68">
        <f t="shared" si="1"/>
        <v>0</v>
      </c>
      <c r="G16" s="69"/>
      <c r="H16" s="19"/>
      <c r="I16" s="9">
        <v>100</v>
      </c>
      <c r="J16" s="55" t="s">
        <v>40</v>
      </c>
      <c r="K16" s="49" t="s">
        <v>41</v>
      </c>
      <c r="L16" s="50"/>
      <c r="M16" s="51"/>
      <c r="N16" s="51"/>
      <c r="O16" s="50"/>
    </row>
    <row r="17" spans="1:15" s="1" customFormat="1" ht="18" customHeight="1" x14ac:dyDescent="0.15">
      <c r="A17" s="31"/>
      <c r="B17" s="68">
        <f t="shared" si="0"/>
        <v>0</v>
      </c>
      <c r="C17" s="32"/>
      <c r="D17" s="33"/>
      <c r="E17" s="34"/>
      <c r="F17" s="68">
        <f t="shared" si="1"/>
        <v>0</v>
      </c>
      <c r="G17" s="69"/>
      <c r="H17" s="19"/>
      <c r="I17" s="9">
        <v>500</v>
      </c>
      <c r="J17" s="55" t="s">
        <v>40</v>
      </c>
      <c r="K17" s="49" t="s">
        <v>42</v>
      </c>
      <c r="L17" s="50"/>
      <c r="M17" s="51"/>
      <c r="N17" s="51"/>
      <c r="O17" s="50"/>
    </row>
    <row r="18" spans="1:15" s="1" customFormat="1" ht="18" customHeight="1" x14ac:dyDescent="0.15">
      <c r="A18" s="31"/>
      <c r="B18" s="68">
        <f t="shared" si="0"/>
        <v>13378.75</v>
      </c>
      <c r="C18" s="32"/>
      <c r="D18" s="33"/>
      <c r="E18" s="34"/>
      <c r="F18" s="68">
        <f t="shared" si="1"/>
        <v>0</v>
      </c>
      <c r="G18" s="69">
        <v>13378.75</v>
      </c>
      <c r="H18" s="19"/>
      <c r="I18" s="9">
        <v>13378.75</v>
      </c>
      <c r="J18" s="55" t="s">
        <v>40</v>
      </c>
      <c r="K18" s="49" t="s">
        <v>43</v>
      </c>
      <c r="L18" s="50"/>
      <c r="M18" s="51"/>
      <c r="N18" s="51"/>
      <c r="O18" s="50"/>
    </row>
    <row r="19" spans="1:15" s="1" customFormat="1" ht="18" customHeight="1" x14ac:dyDescent="0.15">
      <c r="A19" s="31"/>
      <c r="B19" s="68">
        <f t="shared" si="0"/>
        <v>0</v>
      </c>
      <c r="C19" s="32"/>
      <c r="D19" s="33"/>
      <c r="E19" s="34"/>
      <c r="F19" s="68">
        <f t="shared" si="1"/>
        <v>0</v>
      </c>
      <c r="G19" s="69"/>
      <c r="H19" s="19" t="s">
        <v>44</v>
      </c>
      <c r="I19" s="9">
        <v>62430.28</v>
      </c>
      <c r="J19" s="55" t="s">
        <v>40</v>
      </c>
      <c r="K19" s="49" t="s">
        <v>45</v>
      </c>
      <c r="L19" s="50"/>
      <c r="M19" s="51"/>
      <c r="N19" s="51"/>
      <c r="O19" s="50"/>
    </row>
    <row r="20" spans="1:15" ht="18" customHeight="1" x14ac:dyDescent="0.15">
      <c r="A20" s="26" t="s">
        <v>22</v>
      </c>
      <c r="B20" s="66">
        <f>SUM(B12:B19)</f>
        <v>668937.53</v>
      </c>
      <c r="C20" s="26"/>
      <c r="D20" s="36"/>
      <c r="E20" s="36"/>
      <c r="F20" s="67">
        <f>SUM(F12:F19)</f>
        <v>0</v>
      </c>
      <c r="G20" s="71">
        <f>SUM(G12:G19)</f>
        <v>668937.53</v>
      </c>
      <c r="H20" s="38"/>
      <c r="I20" s="26">
        <f>SUM(I12:I19)</f>
        <v>668937.53</v>
      </c>
      <c r="J20" s="56"/>
      <c r="K20" s="36"/>
      <c r="L20" s="29"/>
      <c r="M20" s="42"/>
      <c r="N20" s="42"/>
      <c r="O20" s="29"/>
    </row>
    <row r="21" spans="1:15" ht="18" customHeight="1" x14ac:dyDescent="0.15">
      <c r="A21" s="39" t="s">
        <v>46</v>
      </c>
      <c r="B21" s="39">
        <f>B9-B20</f>
        <v>-55233.374036697001</v>
      </c>
      <c r="C21" s="39"/>
      <c r="D21" s="41"/>
      <c r="E21" s="41"/>
      <c r="F21" s="40"/>
      <c r="G21" s="39">
        <f>G9-G20</f>
        <v>0</v>
      </c>
      <c r="H21" s="18" t="s">
        <v>47</v>
      </c>
      <c r="I21" s="26">
        <f>I9-I20</f>
        <v>0</v>
      </c>
      <c r="J21" s="6"/>
      <c r="K21" s="57"/>
      <c r="M21" s="58"/>
      <c r="N21" s="58"/>
    </row>
    <row r="22" spans="1:15" ht="18" customHeight="1" x14ac:dyDescent="0.15">
      <c r="A22" s="2" t="s">
        <v>48</v>
      </c>
      <c r="C22" s="2"/>
    </row>
    <row r="23" spans="1:15" ht="18" customHeight="1" x14ac:dyDescent="0.15">
      <c r="A23" s="18" t="s">
        <v>49</v>
      </c>
      <c r="B23" s="17" t="s">
        <v>50</v>
      </c>
      <c r="C23" s="29"/>
      <c r="D23" s="18" t="s">
        <v>49</v>
      </c>
      <c r="E23" s="16" t="s">
        <v>16</v>
      </c>
      <c r="F23" s="17" t="s">
        <v>50</v>
      </c>
      <c r="G23" s="20" t="s">
        <v>51</v>
      </c>
    </row>
    <row r="24" spans="1:15" ht="18" customHeight="1" x14ac:dyDescent="0.15">
      <c r="A24" s="29" t="s">
        <v>52</v>
      </c>
      <c r="B24" s="14">
        <f>(B9-B20)*0.25</f>
        <v>-13808.343509174199</v>
      </c>
      <c r="C24" s="29"/>
      <c r="D24" s="7" t="s">
        <v>53</v>
      </c>
      <c r="E24" s="42" t="s">
        <v>54</v>
      </c>
      <c r="F24" s="43">
        <f>F9-F20</f>
        <v>55233.374036697198</v>
      </c>
      <c r="G24" s="67">
        <f>F7</f>
        <v>55233.374036697198</v>
      </c>
      <c r="K24" s="3"/>
    </row>
    <row r="25" spans="1:15" ht="18" customHeight="1" x14ac:dyDescent="0.15">
      <c r="A25" s="29" t="s">
        <v>55</v>
      </c>
      <c r="B25" s="44" t="s">
        <v>56</v>
      </c>
      <c r="C25" s="29"/>
      <c r="D25" s="45" t="s">
        <v>57</v>
      </c>
      <c r="E25" s="11">
        <v>0.05</v>
      </c>
      <c r="F25" s="20">
        <f>F24*E25</f>
        <v>2761.6687018348598</v>
      </c>
      <c r="G25" s="9">
        <f>G24*0.07</f>
        <v>3866.3361825688098</v>
      </c>
    </row>
    <row r="26" spans="1:15" ht="18" customHeight="1" x14ac:dyDescent="0.15">
      <c r="A26" s="29" t="s">
        <v>58</v>
      </c>
      <c r="B26" s="44" t="s">
        <v>56</v>
      </c>
      <c r="C26" s="29"/>
      <c r="D26" s="45" t="s">
        <v>59</v>
      </c>
      <c r="E26" s="11">
        <v>0.03</v>
      </c>
      <c r="F26" s="20">
        <f>F24*E26</f>
        <v>1657.00122110092</v>
      </c>
      <c r="G26" s="9">
        <f>G24*E26</f>
        <v>1657.00122110092</v>
      </c>
    </row>
    <row r="27" spans="1:15" ht="18" customHeight="1" x14ac:dyDescent="0.15">
      <c r="A27" s="29"/>
      <c r="B27" s="20"/>
      <c r="C27" s="29"/>
      <c r="D27" s="45" t="s">
        <v>60</v>
      </c>
      <c r="E27" s="11">
        <v>0.02</v>
      </c>
      <c r="F27" s="20">
        <f>F24*E27</f>
        <v>1104.66748073394</v>
      </c>
      <c r="G27" s="9">
        <f>G24*E27</f>
        <v>1104.66748073394</v>
      </c>
    </row>
    <row r="28" spans="1:15" ht="18" customHeight="1" x14ac:dyDescent="0.15">
      <c r="A28" s="24" t="s">
        <v>61</v>
      </c>
      <c r="B28" s="25">
        <f t="shared" ref="B28:G28" si="2">SUM(B24:B27)</f>
        <v>-13808.343509174199</v>
      </c>
      <c r="C28" s="29"/>
      <c r="D28" s="24" t="s">
        <v>61</v>
      </c>
      <c r="E28" s="24"/>
      <c r="F28" s="28">
        <f t="shared" si="2"/>
        <v>60756.711440366897</v>
      </c>
      <c r="G28" s="67">
        <f t="shared" si="2"/>
        <v>61861.378921100899</v>
      </c>
    </row>
    <row r="29" spans="1:15" ht="20.100000000000001" customHeight="1" x14ac:dyDescent="0.15">
      <c r="C29" s="2"/>
      <c r="D29" s="26" t="s">
        <v>22</v>
      </c>
      <c r="E29" s="26"/>
      <c r="F29" s="27">
        <f>F28</f>
        <v>60756.711440366897</v>
      </c>
      <c r="G29" s="26">
        <f>G28</f>
        <v>61861.378921100899</v>
      </c>
    </row>
    <row r="30" spans="1:15" ht="21" customHeight="1" x14ac:dyDescent="0.15">
      <c r="C30" s="2"/>
      <c r="F30" s="72" t="s">
        <v>55</v>
      </c>
      <c r="G30" s="73">
        <f>G7*0.0003</f>
        <v>200.68125900000001</v>
      </c>
    </row>
    <row r="31" spans="1:15" ht="18" customHeight="1" x14ac:dyDescent="0.15">
      <c r="C31" s="2"/>
      <c r="F31" s="72" t="s">
        <v>58</v>
      </c>
      <c r="G31" s="9">
        <f>B7*0.0006</f>
        <v>368.22249357798199</v>
      </c>
    </row>
    <row r="32" spans="1:15" ht="18" customHeight="1" x14ac:dyDescent="0.15">
      <c r="C32" s="2"/>
      <c r="F32" s="72" t="s">
        <v>61</v>
      </c>
      <c r="G32" s="26">
        <f>SUM(G30:G31)</f>
        <v>568.903752577982</v>
      </c>
    </row>
    <row r="33" spans="3:7" ht="18" customHeight="1" x14ac:dyDescent="0.15">
      <c r="C33" s="2"/>
      <c r="F33" s="72" t="s">
        <v>22</v>
      </c>
      <c r="G33" s="26">
        <f>G29+G32</f>
        <v>62430.282673678899</v>
      </c>
    </row>
    <row r="34" spans="3:7" x14ac:dyDescent="0.15">
      <c r="C34" s="2"/>
    </row>
    <row r="35" spans="3:7" x14ac:dyDescent="0.15">
      <c r="C35" s="2"/>
    </row>
    <row r="36" spans="3:7" x14ac:dyDescent="0.15">
      <c r="C36" s="2"/>
    </row>
    <row r="37" spans="3:7" x14ac:dyDescent="0.15">
      <c r="C37" s="2"/>
    </row>
    <row r="38" spans="3:7" x14ac:dyDescent="0.15">
      <c r="C38" s="2"/>
    </row>
    <row r="39" spans="3:7" x14ac:dyDescent="0.15">
      <c r="C39" s="2"/>
    </row>
    <row r="40" spans="3:7" x14ac:dyDescent="0.15">
      <c r="C40" s="2"/>
    </row>
    <row r="41" spans="3:7" x14ac:dyDescent="0.15">
      <c r="C41" s="2"/>
    </row>
    <row r="42" spans="3:7" x14ac:dyDescent="0.15">
      <c r="C42" s="2"/>
    </row>
    <row r="43" spans="3:7" x14ac:dyDescent="0.15">
      <c r="C43" s="2"/>
    </row>
    <row r="44" spans="3:7" x14ac:dyDescent="0.15">
      <c r="C44" s="2"/>
    </row>
    <row r="45" spans="3:7" x14ac:dyDescent="0.15">
      <c r="C45" s="2"/>
    </row>
    <row r="46" spans="3:7" x14ac:dyDescent="0.15">
      <c r="C46" s="2"/>
    </row>
    <row r="47" spans="3:7" x14ac:dyDescent="0.15">
      <c r="C47" s="2"/>
    </row>
    <row r="48" spans="3:7" x14ac:dyDescent="0.15">
      <c r="C48" s="2"/>
    </row>
    <row r="49" spans="3:3" x14ac:dyDescent="0.15">
      <c r="C49" s="2"/>
    </row>
  </sheetData>
  <autoFilter ref="A11:O33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22047244094499" right="0.23622047244094499" top="0.31496062992126" bottom="0.15748031496063" header="0.31496062992126" footer="0.31496062992126"/>
  <pageSetup paperSize="9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8"/>
  <sheetViews>
    <sheetView topLeftCell="A10" workbookViewId="0">
      <selection activeCell="K32" sqref="K32"/>
    </sheetView>
  </sheetViews>
  <sheetFormatPr defaultColWidth="9" defaultRowHeight="11.25" x14ac:dyDescent="0.1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10.875" style="6" customWidth="1"/>
    <col min="16" max="16" width="16.875" style="6" customWidth="1"/>
    <col min="17" max="16384" width="9" style="6"/>
  </cols>
  <sheetData>
    <row r="1" spans="1:17" ht="21.95" customHeight="1" x14ac:dyDescent="0.15">
      <c r="A1" s="80" t="s">
        <v>62</v>
      </c>
      <c r="B1" s="80"/>
      <c r="C1" s="80"/>
      <c r="D1" s="80"/>
      <c r="E1" s="80"/>
      <c r="F1" s="81"/>
      <c r="G1" s="81"/>
      <c r="H1" s="80"/>
      <c r="I1" s="81"/>
      <c r="J1" s="80"/>
      <c r="K1" s="15"/>
      <c r="L1" s="15"/>
    </row>
    <row r="2" spans="1:17" ht="18" customHeight="1" x14ac:dyDescent="0.15">
      <c r="A2" s="7" t="s">
        <v>1</v>
      </c>
      <c r="B2" s="8">
        <v>42895</v>
      </c>
      <c r="C2" s="9" t="s">
        <v>2</v>
      </c>
      <c r="D2" s="60">
        <v>12755206.279999999</v>
      </c>
      <c r="E2" s="61" t="s">
        <v>3</v>
      </c>
      <c r="F2" s="62" t="s">
        <v>4</v>
      </c>
      <c r="G2" s="13" t="s">
        <v>5</v>
      </c>
      <c r="H2" s="82" t="s">
        <v>6</v>
      </c>
      <c r="I2" s="83"/>
      <c r="J2" s="84"/>
      <c r="K2" s="15"/>
      <c r="L2" s="15"/>
    </row>
    <row r="3" spans="1:17" ht="18" customHeight="1" x14ac:dyDescent="0.15">
      <c r="A3" s="7" t="s">
        <v>7</v>
      </c>
      <c r="B3" s="14"/>
      <c r="C3" s="9" t="s">
        <v>8</v>
      </c>
      <c r="D3" s="26">
        <v>13378750.58</v>
      </c>
      <c r="H3" s="15"/>
      <c r="I3" s="46"/>
      <c r="J3" s="15"/>
      <c r="K3" s="15"/>
      <c r="L3" s="15"/>
    </row>
    <row r="4" spans="1:17" ht="18" customHeight="1" x14ac:dyDescent="0.15">
      <c r="A4" s="2" t="s">
        <v>9</v>
      </c>
      <c r="H4" s="15"/>
      <c r="I4" s="46"/>
      <c r="J4" s="15"/>
      <c r="K4" s="15"/>
      <c r="L4" s="15"/>
    </row>
    <row r="5" spans="1:17" ht="18" customHeight="1" x14ac:dyDescent="0.15">
      <c r="A5" s="85" t="s">
        <v>10</v>
      </c>
      <c r="B5" s="86" t="s">
        <v>11</v>
      </c>
      <c r="C5" s="85" t="s">
        <v>12</v>
      </c>
      <c r="D5" s="85"/>
      <c r="E5" s="85" t="s">
        <v>13</v>
      </c>
      <c r="F5" s="86"/>
      <c r="G5" s="86" t="s">
        <v>14</v>
      </c>
      <c r="H5" s="87" t="s">
        <v>15</v>
      </c>
      <c r="I5" s="86"/>
      <c r="J5" s="87"/>
    </row>
    <row r="6" spans="1:17" ht="18" customHeight="1" x14ac:dyDescent="0.15">
      <c r="A6" s="85"/>
      <c r="B6" s="86"/>
      <c r="C6" s="16" t="s">
        <v>16</v>
      </c>
      <c r="D6" s="16" t="s">
        <v>17</v>
      </c>
      <c r="E6" s="16" t="s">
        <v>16</v>
      </c>
      <c r="F6" s="17" t="s">
        <v>17</v>
      </c>
      <c r="G6" s="86"/>
      <c r="H6" s="18" t="s">
        <v>18</v>
      </c>
      <c r="I6" s="17" t="s">
        <v>19</v>
      </c>
      <c r="J6" s="18" t="s">
        <v>20</v>
      </c>
    </row>
    <row r="7" spans="1:17" ht="18" customHeight="1" x14ac:dyDescent="0.15">
      <c r="A7" s="19" t="s">
        <v>63</v>
      </c>
      <c r="B7" s="9">
        <f t="shared" ref="B7:B10" si="0">G7/(1+C7+E7)</f>
        <v>4271844.6601941697</v>
      </c>
      <c r="C7" s="21">
        <v>0.03</v>
      </c>
      <c r="D7" s="63">
        <f t="shared" ref="D7:D10" si="1">G7/(1+E7+C7)*C7</f>
        <v>128155.339805825</v>
      </c>
      <c r="E7" s="21"/>
      <c r="F7" s="9"/>
      <c r="G7" s="64">
        <v>4400000</v>
      </c>
      <c r="H7" s="19" t="s">
        <v>63</v>
      </c>
      <c r="I7" s="9">
        <v>4400000</v>
      </c>
      <c r="J7" s="42" t="s">
        <v>64</v>
      </c>
    </row>
    <row r="8" spans="1:17" ht="18" customHeight="1" x14ac:dyDescent="0.15">
      <c r="A8" s="19" t="s">
        <v>65</v>
      </c>
      <c r="B8" s="9">
        <f t="shared" si="0"/>
        <v>3980582.5242718402</v>
      </c>
      <c r="C8" s="21">
        <v>0.03</v>
      </c>
      <c r="D8" s="63">
        <f t="shared" si="1"/>
        <v>119417.475728155</v>
      </c>
      <c r="E8" s="21"/>
      <c r="F8" s="9"/>
      <c r="G8" s="64">
        <v>4100000</v>
      </c>
      <c r="H8" s="19" t="s">
        <v>66</v>
      </c>
      <c r="I8" s="9">
        <v>4100000</v>
      </c>
      <c r="J8" s="42" t="s">
        <v>64</v>
      </c>
      <c r="P8" s="47" t="s">
        <v>67</v>
      </c>
      <c r="Q8" s="59" t="s">
        <v>68</v>
      </c>
    </row>
    <row r="9" spans="1:17" ht="18" customHeight="1" x14ac:dyDescent="0.15">
      <c r="A9" s="19">
        <v>43485</v>
      </c>
      <c r="B9" s="9">
        <f t="shared" si="0"/>
        <v>4087197.13592233</v>
      </c>
      <c r="C9" s="21">
        <v>0.03</v>
      </c>
      <c r="D9" s="63">
        <f t="shared" si="1"/>
        <v>122615.91407766999</v>
      </c>
      <c r="E9" s="21"/>
      <c r="F9" s="9"/>
      <c r="G9" s="64">
        <v>4209813.05</v>
      </c>
      <c r="H9" s="19">
        <v>43497</v>
      </c>
      <c r="I9" s="9">
        <v>4209813.05</v>
      </c>
      <c r="J9" s="42" t="s">
        <v>64</v>
      </c>
    </row>
    <row r="10" spans="1:17" ht="18" customHeight="1" x14ac:dyDescent="0.15">
      <c r="A10" s="19"/>
      <c r="B10" s="9">
        <f t="shared" si="0"/>
        <v>0</v>
      </c>
      <c r="C10" s="65">
        <v>0</v>
      </c>
      <c r="D10" s="63">
        <f t="shared" si="1"/>
        <v>0</v>
      </c>
      <c r="E10" s="65">
        <v>0.09</v>
      </c>
      <c r="F10" s="9">
        <f>G10/(1+C10+E10)*E10</f>
        <v>0</v>
      </c>
      <c r="G10" s="64"/>
      <c r="H10" s="19"/>
      <c r="I10" s="9"/>
      <c r="J10" s="42"/>
    </row>
    <row r="11" spans="1:17" ht="18" customHeight="1" x14ac:dyDescent="0.15">
      <c r="A11" s="19"/>
      <c r="B11" s="9"/>
      <c r="C11" s="21"/>
      <c r="D11" s="63"/>
      <c r="E11" s="21"/>
      <c r="F11" s="9"/>
      <c r="G11" s="64"/>
      <c r="H11" s="19"/>
      <c r="I11" s="9"/>
      <c r="J11" s="42"/>
    </row>
    <row r="12" spans="1:17" ht="18" customHeight="1" x14ac:dyDescent="0.15">
      <c r="A12" s="24" t="s">
        <v>22</v>
      </c>
      <c r="B12" s="66">
        <f t="shared" ref="B12:G12" si="2">SUM(B7:B10)</f>
        <v>12339624.3203883</v>
      </c>
      <c r="C12" s="26"/>
      <c r="D12" s="26">
        <f t="shared" si="2"/>
        <v>370188.72961164999</v>
      </c>
      <c r="E12" s="26"/>
      <c r="F12" s="67">
        <f t="shared" si="2"/>
        <v>0</v>
      </c>
      <c r="G12" s="26">
        <f t="shared" si="2"/>
        <v>12709813.050000001</v>
      </c>
      <c r="H12" s="29"/>
      <c r="I12" s="26">
        <f>SUM(I7:I10)</f>
        <v>12709813.050000001</v>
      </c>
      <c r="J12" s="29"/>
    </row>
    <row r="13" spans="1:17" ht="18" customHeight="1" x14ac:dyDescent="0.15">
      <c r="A13" s="2" t="s">
        <v>23</v>
      </c>
      <c r="J13" s="4"/>
      <c r="K13" s="4"/>
      <c r="L13" s="5"/>
    </row>
    <row r="14" spans="1:17" ht="18" customHeight="1" x14ac:dyDescent="0.15">
      <c r="A14" s="30" t="s">
        <v>24</v>
      </c>
      <c r="B14" s="17" t="s">
        <v>25</v>
      </c>
      <c r="C14" s="16" t="s">
        <v>26</v>
      </c>
      <c r="D14" s="16" t="s">
        <v>27</v>
      </c>
      <c r="E14" s="16" t="s">
        <v>16</v>
      </c>
      <c r="F14" s="17" t="s">
        <v>28</v>
      </c>
      <c r="G14" s="17" t="s">
        <v>14</v>
      </c>
      <c r="H14" s="16" t="s">
        <v>29</v>
      </c>
      <c r="I14" s="17" t="s">
        <v>30</v>
      </c>
      <c r="J14" s="16" t="s">
        <v>20</v>
      </c>
      <c r="K14" s="48" t="s">
        <v>31</v>
      </c>
      <c r="L14" s="18" t="s">
        <v>32</v>
      </c>
      <c r="M14" s="18" t="s">
        <v>33</v>
      </c>
      <c r="N14" s="18" t="s">
        <v>34</v>
      </c>
      <c r="O14" s="18" t="s">
        <v>35</v>
      </c>
    </row>
    <row r="15" spans="1:17" s="1" customFormat="1" ht="18" customHeight="1" x14ac:dyDescent="0.15">
      <c r="A15" s="31">
        <v>42979</v>
      </c>
      <c r="B15" s="68">
        <f t="shared" ref="B15:B19" si="3">ROUND(G15/(1+E15),2)</f>
        <v>198800</v>
      </c>
      <c r="C15" s="32"/>
      <c r="D15" s="33"/>
      <c r="E15" s="34"/>
      <c r="F15" s="68">
        <f t="shared" ref="F15:F19" si="4">ROUND(G15/(1+E15)*E15,2)</f>
        <v>0</v>
      </c>
      <c r="G15" s="64">
        <v>198800</v>
      </c>
      <c r="H15" s="19"/>
      <c r="I15" s="9"/>
      <c r="J15" s="42"/>
      <c r="K15" s="49" t="s">
        <v>4</v>
      </c>
      <c r="L15" s="50" t="s">
        <v>69</v>
      </c>
      <c r="M15" s="51"/>
      <c r="N15" s="51"/>
      <c r="O15" s="50" t="s">
        <v>70</v>
      </c>
    </row>
    <row r="16" spans="1:17" s="1" customFormat="1" ht="18" customHeight="1" x14ac:dyDescent="0.15">
      <c r="A16" s="31">
        <v>42979</v>
      </c>
      <c r="B16" s="68">
        <f t="shared" si="3"/>
        <v>197680</v>
      </c>
      <c r="C16" s="32"/>
      <c r="D16" s="33"/>
      <c r="E16" s="34"/>
      <c r="F16" s="68">
        <f t="shared" si="4"/>
        <v>0</v>
      </c>
      <c r="G16" s="64">
        <v>197680</v>
      </c>
      <c r="H16" s="19"/>
      <c r="I16" s="74"/>
      <c r="J16" s="42"/>
      <c r="K16" s="49" t="s">
        <v>4</v>
      </c>
      <c r="L16" s="50" t="s">
        <v>69</v>
      </c>
      <c r="M16" s="51"/>
      <c r="N16" s="51"/>
      <c r="O16" s="50" t="s">
        <v>70</v>
      </c>
    </row>
    <row r="17" spans="1:15" s="1" customFormat="1" ht="18" customHeight="1" x14ac:dyDescent="0.15">
      <c r="A17" s="31">
        <v>43009</v>
      </c>
      <c r="B17" s="68">
        <f t="shared" si="3"/>
        <v>197540</v>
      </c>
      <c r="C17" s="32"/>
      <c r="D17" s="33"/>
      <c r="E17" s="34"/>
      <c r="F17" s="68">
        <f t="shared" si="4"/>
        <v>0</v>
      </c>
      <c r="G17" s="64">
        <v>197540</v>
      </c>
      <c r="H17" s="19"/>
      <c r="I17" s="74">
        <v>28000</v>
      </c>
      <c r="J17" s="42"/>
      <c r="K17" s="49" t="s">
        <v>4</v>
      </c>
      <c r="L17" s="50" t="s">
        <v>69</v>
      </c>
      <c r="M17" s="51"/>
      <c r="N17" s="51"/>
      <c r="O17" s="50" t="s">
        <v>70</v>
      </c>
    </row>
    <row r="18" spans="1:15" s="1" customFormat="1" ht="18" customHeight="1" x14ac:dyDescent="0.15">
      <c r="A18" s="31">
        <v>43040</v>
      </c>
      <c r="B18" s="68">
        <f t="shared" si="3"/>
        <v>96210</v>
      </c>
      <c r="C18" s="32"/>
      <c r="D18" s="33"/>
      <c r="E18" s="34"/>
      <c r="F18" s="68">
        <f t="shared" si="4"/>
        <v>0</v>
      </c>
      <c r="G18" s="64">
        <v>96210</v>
      </c>
      <c r="H18" s="19" t="s">
        <v>71</v>
      </c>
      <c r="I18" s="74">
        <v>500000</v>
      </c>
      <c r="J18" s="42" t="s">
        <v>72</v>
      </c>
      <c r="K18" s="49" t="s">
        <v>4</v>
      </c>
      <c r="L18" s="50" t="s">
        <v>73</v>
      </c>
      <c r="M18" s="51"/>
      <c r="N18" s="51"/>
      <c r="O18" s="50" t="s">
        <v>74</v>
      </c>
    </row>
    <row r="19" spans="1:15" s="1" customFormat="1" ht="18" customHeight="1" x14ac:dyDescent="0.15">
      <c r="A19" s="31">
        <v>43040</v>
      </c>
      <c r="B19" s="68">
        <f t="shared" si="3"/>
        <v>900000</v>
      </c>
      <c r="C19" s="32"/>
      <c r="D19" s="33"/>
      <c r="E19" s="34"/>
      <c r="F19" s="68">
        <f t="shared" si="4"/>
        <v>0</v>
      </c>
      <c r="G19" s="64">
        <v>900000</v>
      </c>
      <c r="H19" s="19" t="s">
        <v>71</v>
      </c>
      <c r="I19" s="74">
        <v>900000</v>
      </c>
      <c r="J19" s="42" t="s">
        <v>72</v>
      </c>
      <c r="K19" s="49" t="s">
        <v>4</v>
      </c>
      <c r="L19" s="50" t="s">
        <v>75</v>
      </c>
      <c r="M19" s="51"/>
      <c r="N19" s="51"/>
      <c r="O19" s="50" t="s">
        <v>74</v>
      </c>
    </row>
    <row r="20" spans="1:15" s="1" customFormat="1" ht="18" customHeight="1" x14ac:dyDescent="0.15">
      <c r="A20" s="31"/>
      <c r="B20" s="68"/>
      <c r="C20" s="32"/>
      <c r="D20" s="33"/>
      <c r="E20" s="34"/>
      <c r="F20" s="68"/>
      <c r="G20" s="64"/>
      <c r="H20" s="19" t="s">
        <v>76</v>
      </c>
      <c r="I20" s="74">
        <v>-128700</v>
      </c>
      <c r="J20" s="42" t="s">
        <v>72</v>
      </c>
      <c r="K20" s="49" t="s">
        <v>4</v>
      </c>
      <c r="L20" s="50"/>
      <c r="M20" s="51"/>
      <c r="N20" s="51"/>
      <c r="O20" s="50" t="s">
        <v>77</v>
      </c>
    </row>
    <row r="21" spans="1:15" s="1" customFormat="1" ht="18" customHeight="1" x14ac:dyDescent="0.15">
      <c r="A21" s="31">
        <v>43040</v>
      </c>
      <c r="B21" s="68">
        <f t="shared" ref="B21:B23" si="5">ROUND(G21/(1+E21),2)</f>
        <v>128700</v>
      </c>
      <c r="C21" s="32"/>
      <c r="D21" s="33"/>
      <c r="E21" s="34"/>
      <c r="F21" s="68">
        <f t="shared" ref="F21:F23" si="6">ROUND(G21/(1+E21)*E21,2)</f>
        <v>0</v>
      </c>
      <c r="G21" s="64">
        <v>128700</v>
      </c>
      <c r="H21" s="19" t="s">
        <v>78</v>
      </c>
      <c r="I21" s="74">
        <v>128700</v>
      </c>
      <c r="J21" s="42" t="s">
        <v>64</v>
      </c>
      <c r="K21" s="49" t="s">
        <v>79</v>
      </c>
      <c r="L21" s="50" t="s">
        <v>80</v>
      </c>
      <c r="M21" s="51"/>
      <c r="N21" s="51"/>
      <c r="O21" s="50" t="s">
        <v>74</v>
      </c>
    </row>
    <row r="22" spans="1:15" s="1" customFormat="1" ht="18" customHeight="1" x14ac:dyDescent="0.15">
      <c r="A22" s="31">
        <v>43040</v>
      </c>
      <c r="B22" s="68">
        <f t="shared" si="5"/>
        <v>1500000</v>
      </c>
      <c r="C22" s="32"/>
      <c r="D22" s="33"/>
      <c r="E22" s="34"/>
      <c r="F22" s="68">
        <f t="shared" si="6"/>
        <v>0</v>
      </c>
      <c r="G22" s="64">
        <v>1500000</v>
      </c>
      <c r="H22" s="19" t="s">
        <v>71</v>
      </c>
      <c r="I22" s="75">
        <v>307837.65000000002</v>
      </c>
      <c r="J22" s="42" t="s">
        <v>72</v>
      </c>
      <c r="K22" s="49" t="s">
        <v>4</v>
      </c>
      <c r="L22" s="50" t="s">
        <v>81</v>
      </c>
      <c r="M22" s="51"/>
      <c r="N22" s="51"/>
      <c r="O22" s="50" t="s">
        <v>74</v>
      </c>
    </row>
    <row r="23" spans="1:15" s="1" customFormat="1" ht="18" customHeight="1" x14ac:dyDescent="0.15">
      <c r="A23" s="31">
        <v>43040</v>
      </c>
      <c r="B23" s="68">
        <f t="shared" si="5"/>
        <v>800002.35</v>
      </c>
      <c r="C23" s="32"/>
      <c r="D23" s="33"/>
      <c r="E23" s="34"/>
      <c r="F23" s="68">
        <f t="shared" si="6"/>
        <v>0</v>
      </c>
      <c r="G23" s="64">
        <v>800002.35</v>
      </c>
      <c r="H23" s="19" t="s">
        <v>71</v>
      </c>
      <c r="I23" s="74">
        <v>800002.35</v>
      </c>
      <c r="J23" s="42" t="s">
        <v>64</v>
      </c>
      <c r="K23" s="49" t="s">
        <v>82</v>
      </c>
      <c r="L23" s="50" t="s">
        <v>73</v>
      </c>
      <c r="M23" s="51"/>
      <c r="N23" s="51"/>
      <c r="O23" s="50" t="s">
        <v>74</v>
      </c>
    </row>
    <row r="24" spans="1:15" s="1" customFormat="1" ht="18" customHeight="1" x14ac:dyDescent="0.15">
      <c r="A24" s="31"/>
      <c r="B24" s="68"/>
      <c r="C24" s="32"/>
      <c r="D24" s="33"/>
      <c r="E24" s="34"/>
      <c r="F24" s="68"/>
      <c r="G24" s="64"/>
      <c r="H24" s="19" t="s">
        <v>71</v>
      </c>
      <c r="I24" s="74">
        <v>776160</v>
      </c>
      <c r="J24" s="42" t="s">
        <v>72</v>
      </c>
      <c r="K24" s="49" t="s">
        <v>4</v>
      </c>
      <c r="L24" s="50" t="s">
        <v>83</v>
      </c>
      <c r="M24" s="51"/>
      <c r="N24" s="51"/>
      <c r="O24" s="50"/>
    </row>
    <row r="25" spans="1:15" s="1" customFormat="1" ht="18" customHeight="1" x14ac:dyDescent="0.15">
      <c r="A25" s="31">
        <v>43040</v>
      </c>
      <c r="B25" s="68">
        <f t="shared" ref="B25:B48" si="7">ROUND(G25/(1+E25),2)</f>
        <v>210140</v>
      </c>
      <c r="C25" s="32"/>
      <c r="D25" s="33"/>
      <c r="E25" s="34"/>
      <c r="F25" s="68">
        <f t="shared" ref="F25:F48" si="8">ROUND(G25/(1+E25)*E25,2)</f>
        <v>0</v>
      </c>
      <c r="G25" s="64">
        <v>210140</v>
      </c>
      <c r="H25" s="19" t="s">
        <v>84</v>
      </c>
      <c r="I25" s="74">
        <v>497293.8</v>
      </c>
      <c r="J25" s="42" t="s">
        <v>72</v>
      </c>
      <c r="K25" s="49" t="s">
        <v>4</v>
      </c>
      <c r="L25" s="50" t="s">
        <v>69</v>
      </c>
      <c r="M25" s="51"/>
      <c r="N25" s="51"/>
      <c r="O25" s="50" t="s">
        <v>74</v>
      </c>
    </row>
    <row r="26" spans="1:15" s="1" customFormat="1" ht="18" customHeight="1" x14ac:dyDescent="0.15">
      <c r="A26" s="31">
        <v>43070</v>
      </c>
      <c r="B26" s="68">
        <f t="shared" si="7"/>
        <v>500000</v>
      </c>
      <c r="C26" s="32"/>
      <c r="D26" s="33"/>
      <c r="E26" s="34"/>
      <c r="F26" s="68">
        <f t="shared" si="8"/>
        <v>0</v>
      </c>
      <c r="G26" s="64">
        <v>500000</v>
      </c>
      <c r="H26" s="19" t="s">
        <v>71</v>
      </c>
      <c r="I26" s="74">
        <v>500000</v>
      </c>
      <c r="J26" s="42" t="s">
        <v>72</v>
      </c>
      <c r="K26" s="49" t="s">
        <v>4</v>
      </c>
      <c r="L26" s="50" t="s">
        <v>85</v>
      </c>
      <c r="M26" s="51"/>
      <c r="N26" s="51"/>
      <c r="O26" s="50" t="s">
        <v>74</v>
      </c>
    </row>
    <row r="27" spans="1:15" s="1" customFormat="1" ht="18" customHeight="1" x14ac:dyDescent="0.15">
      <c r="A27" s="31">
        <v>43070</v>
      </c>
      <c r="B27" s="68">
        <f t="shared" si="7"/>
        <v>500000</v>
      </c>
      <c r="C27" s="32"/>
      <c r="D27" s="33"/>
      <c r="E27" s="34"/>
      <c r="F27" s="68">
        <f t="shared" si="8"/>
        <v>0</v>
      </c>
      <c r="G27" s="64">
        <v>500000</v>
      </c>
      <c r="H27" s="19" t="s">
        <v>71</v>
      </c>
      <c r="I27" s="74">
        <v>500000</v>
      </c>
      <c r="J27" s="42" t="s">
        <v>72</v>
      </c>
      <c r="K27" s="49" t="s">
        <v>4</v>
      </c>
      <c r="L27" s="50" t="s">
        <v>86</v>
      </c>
      <c r="M27" s="51"/>
      <c r="N27" s="51"/>
      <c r="O27" s="50" t="s">
        <v>74</v>
      </c>
    </row>
    <row r="28" spans="1:15" s="1" customFormat="1" ht="18" customHeight="1" x14ac:dyDescent="0.15">
      <c r="A28" s="31">
        <v>43070</v>
      </c>
      <c r="B28" s="68">
        <f t="shared" si="7"/>
        <v>500000</v>
      </c>
      <c r="C28" s="32"/>
      <c r="D28" s="33"/>
      <c r="E28" s="34"/>
      <c r="F28" s="68">
        <f t="shared" si="8"/>
        <v>0</v>
      </c>
      <c r="G28" s="64">
        <v>500000</v>
      </c>
      <c r="H28" s="19" t="s">
        <v>87</v>
      </c>
      <c r="I28" s="74">
        <v>420700</v>
      </c>
      <c r="J28" s="42" t="s">
        <v>72</v>
      </c>
      <c r="K28" s="54" t="s">
        <v>88</v>
      </c>
      <c r="L28" s="50" t="s">
        <v>89</v>
      </c>
      <c r="M28" s="51"/>
      <c r="N28" s="51"/>
      <c r="O28" s="50" t="s">
        <v>74</v>
      </c>
    </row>
    <row r="29" spans="1:15" s="1" customFormat="1" ht="18" customHeight="1" x14ac:dyDescent="0.15">
      <c r="A29" s="31">
        <v>43118</v>
      </c>
      <c r="B29" s="68">
        <f t="shared" si="7"/>
        <v>1000000</v>
      </c>
      <c r="C29" s="32"/>
      <c r="D29" s="33"/>
      <c r="E29" s="34"/>
      <c r="F29" s="68">
        <f t="shared" si="8"/>
        <v>0</v>
      </c>
      <c r="G29" s="64">
        <v>1000000</v>
      </c>
      <c r="H29" s="19" t="s">
        <v>87</v>
      </c>
      <c r="I29" s="74">
        <v>1000000</v>
      </c>
      <c r="J29" s="42" t="s">
        <v>64</v>
      </c>
      <c r="K29" s="49" t="s">
        <v>4</v>
      </c>
      <c r="L29" s="50" t="s">
        <v>81</v>
      </c>
      <c r="M29" s="51"/>
      <c r="N29" s="51"/>
      <c r="O29" s="50" t="s">
        <v>74</v>
      </c>
    </row>
    <row r="30" spans="1:15" s="1" customFormat="1" ht="18" customHeight="1" x14ac:dyDescent="0.15">
      <c r="A30" s="31">
        <v>43132</v>
      </c>
      <c r="B30" s="68">
        <f t="shared" si="7"/>
        <v>200006.2</v>
      </c>
      <c r="C30" s="32"/>
      <c r="D30" s="33"/>
      <c r="E30" s="34"/>
      <c r="F30" s="68">
        <f t="shared" si="8"/>
        <v>0</v>
      </c>
      <c r="G30" s="64">
        <v>200006.2</v>
      </c>
      <c r="H30" s="19" t="s">
        <v>87</v>
      </c>
      <c r="I30" s="74">
        <v>200006.2</v>
      </c>
      <c r="J30" s="42" t="s">
        <v>64</v>
      </c>
      <c r="K30" s="49" t="s">
        <v>82</v>
      </c>
      <c r="L30" s="50" t="s">
        <v>73</v>
      </c>
      <c r="M30" s="51"/>
      <c r="N30" s="51"/>
      <c r="O30" s="50" t="s">
        <v>74</v>
      </c>
    </row>
    <row r="31" spans="1:15" s="1" customFormat="1" ht="18" customHeight="1" x14ac:dyDescent="0.15">
      <c r="A31" s="31">
        <v>43132</v>
      </c>
      <c r="B31" s="68">
        <f t="shared" si="7"/>
        <v>900000</v>
      </c>
      <c r="C31" s="32"/>
      <c r="D31" s="33"/>
      <c r="E31" s="34"/>
      <c r="F31" s="68">
        <f t="shared" si="8"/>
        <v>0</v>
      </c>
      <c r="G31" s="64">
        <v>900000</v>
      </c>
      <c r="H31" s="19"/>
      <c r="I31" s="74"/>
      <c r="J31" s="42" t="s">
        <v>64</v>
      </c>
      <c r="K31" s="49" t="s">
        <v>4</v>
      </c>
      <c r="L31" s="50" t="s">
        <v>90</v>
      </c>
      <c r="M31" s="51"/>
      <c r="N31" s="51"/>
      <c r="O31" s="50" t="s">
        <v>74</v>
      </c>
    </row>
    <row r="32" spans="1:15" s="1" customFormat="1" ht="18" customHeight="1" x14ac:dyDescent="0.15">
      <c r="A32" s="31"/>
      <c r="B32" s="68">
        <f t="shared" si="7"/>
        <v>0</v>
      </c>
      <c r="C32" s="32"/>
      <c r="D32" s="33"/>
      <c r="E32" s="34"/>
      <c r="F32" s="68">
        <f t="shared" si="8"/>
        <v>0</v>
      </c>
      <c r="G32" s="64"/>
      <c r="H32" s="19" t="s">
        <v>87</v>
      </c>
      <c r="I32" s="74">
        <v>1900000</v>
      </c>
      <c r="J32" s="42" t="s">
        <v>72</v>
      </c>
      <c r="K32" s="49" t="s">
        <v>91</v>
      </c>
      <c r="L32" s="50"/>
      <c r="M32" s="51"/>
      <c r="N32" s="51"/>
      <c r="O32" s="50"/>
    </row>
    <row r="33" spans="1:15" s="1" customFormat="1" ht="18" customHeight="1" x14ac:dyDescent="0.15">
      <c r="A33" s="31">
        <v>43466</v>
      </c>
      <c r="B33" s="68">
        <f t="shared" si="7"/>
        <v>1000000</v>
      </c>
      <c r="C33" s="32"/>
      <c r="D33" s="33" t="s">
        <v>36</v>
      </c>
      <c r="E33" s="34"/>
      <c r="F33" s="68">
        <f t="shared" si="8"/>
        <v>0</v>
      </c>
      <c r="G33" s="69">
        <v>1000000</v>
      </c>
      <c r="H33" s="19">
        <v>43498</v>
      </c>
      <c r="I33" s="74">
        <v>1000000</v>
      </c>
      <c r="J33" s="42" t="s">
        <v>72</v>
      </c>
      <c r="K33" s="49" t="s">
        <v>92</v>
      </c>
      <c r="L33" s="50" t="s">
        <v>93</v>
      </c>
      <c r="M33" s="51"/>
      <c r="N33" s="51"/>
      <c r="O33" s="50"/>
    </row>
    <row r="34" spans="1:15" s="1" customFormat="1" ht="18" customHeight="1" x14ac:dyDescent="0.15">
      <c r="A34" s="31">
        <v>43466</v>
      </c>
      <c r="B34" s="68">
        <f t="shared" si="7"/>
        <v>1125813.05</v>
      </c>
      <c r="C34" s="32"/>
      <c r="D34" s="33" t="s">
        <v>36</v>
      </c>
      <c r="E34" s="34"/>
      <c r="F34" s="68">
        <f t="shared" si="8"/>
        <v>0</v>
      </c>
      <c r="G34" s="69">
        <v>1125813.05</v>
      </c>
      <c r="H34" s="19">
        <v>43498</v>
      </c>
      <c r="I34" s="74">
        <v>1083517.78</v>
      </c>
      <c r="J34" s="42" t="s">
        <v>72</v>
      </c>
      <c r="K34" s="49" t="s">
        <v>94</v>
      </c>
      <c r="L34" s="50" t="s">
        <v>93</v>
      </c>
      <c r="M34" s="51"/>
      <c r="N34" s="51"/>
      <c r="O34" s="50"/>
    </row>
    <row r="35" spans="1:15" s="1" customFormat="1" ht="18" customHeight="1" x14ac:dyDescent="0.15">
      <c r="A35" s="31">
        <v>43466</v>
      </c>
      <c r="B35" s="68">
        <f t="shared" si="7"/>
        <v>1000000</v>
      </c>
      <c r="C35" s="32"/>
      <c r="D35" s="33" t="s">
        <v>36</v>
      </c>
      <c r="E35" s="34"/>
      <c r="F35" s="68">
        <f t="shared" si="8"/>
        <v>0</v>
      </c>
      <c r="G35" s="69">
        <v>1000000</v>
      </c>
      <c r="H35" s="19">
        <v>43498</v>
      </c>
      <c r="I35" s="74">
        <v>1000000</v>
      </c>
      <c r="J35" s="42" t="s">
        <v>72</v>
      </c>
      <c r="K35" s="49" t="s">
        <v>95</v>
      </c>
      <c r="L35" s="50" t="s">
        <v>96</v>
      </c>
      <c r="M35" s="51"/>
      <c r="N35" s="51"/>
      <c r="O35" s="50"/>
    </row>
    <row r="36" spans="1:15" s="1" customFormat="1" ht="18" customHeight="1" x14ac:dyDescent="0.15">
      <c r="A36" s="31">
        <v>43466</v>
      </c>
      <c r="B36" s="68">
        <f t="shared" si="7"/>
        <v>1000000</v>
      </c>
      <c r="C36" s="32"/>
      <c r="D36" s="33" t="s">
        <v>36</v>
      </c>
      <c r="E36" s="34"/>
      <c r="F36" s="68">
        <f t="shared" si="8"/>
        <v>0</v>
      </c>
      <c r="G36" s="69">
        <v>1000000</v>
      </c>
      <c r="H36" s="19">
        <v>43498</v>
      </c>
      <c r="I36" s="74">
        <v>1000000</v>
      </c>
      <c r="J36" s="42" t="s">
        <v>72</v>
      </c>
      <c r="K36" s="49" t="s">
        <v>97</v>
      </c>
      <c r="L36" s="50" t="s">
        <v>96</v>
      </c>
      <c r="M36" s="51"/>
      <c r="N36" s="51"/>
      <c r="O36" s="50"/>
    </row>
    <row r="37" spans="1:15" s="1" customFormat="1" ht="18" customHeight="1" x14ac:dyDescent="0.15">
      <c r="A37" s="31">
        <v>44044</v>
      </c>
      <c r="B37" s="68">
        <v>75303.08</v>
      </c>
      <c r="C37" s="32"/>
      <c r="D37" s="33" t="s">
        <v>36</v>
      </c>
      <c r="E37" s="34"/>
      <c r="F37" s="68">
        <v>0</v>
      </c>
      <c r="G37" s="69">
        <v>75303.08</v>
      </c>
      <c r="H37" s="19"/>
      <c r="I37" s="76"/>
      <c r="J37" s="77"/>
      <c r="K37" s="49" t="s">
        <v>37</v>
      </c>
      <c r="L37" s="50" t="s">
        <v>38</v>
      </c>
      <c r="M37" s="51" t="s">
        <v>39</v>
      </c>
      <c r="N37" s="51"/>
      <c r="O37" s="50"/>
    </row>
    <row r="38" spans="1:15" s="1" customFormat="1" ht="18" customHeight="1" x14ac:dyDescent="0.15">
      <c r="A38" s="31"/>
      <c r="B38" s="68">
        <f t="shared" si="7"/>
        <v>0</v>
      </c>
      <c r="C38" s="32"/>
      <c r="D38" s="33"/>
      <c r="E38" s="34"/>
      <c r="F38" s="68">
        <f t="shared" si="8"/>
        <v>0</v>
      </c>
      <c r="G38" s="69"/>
      <c r="H38" s="70">
        <v>44071</v>
      </c>
      <c r="I38" s="68">
        <v>42049</v>
      </c>
      <c r="J38" s="78"/>
      <c r="K38" s="49" t="s">
        <v>37</v>
      </c>
      <c r="L38" s="50"/>
      <c r="M38" s="51"/>
      <c r="N38" s="51"/>
      <c r="O38" s="50"/>
    </row>
    <row r="39" spans="1:15" s="1" customFormat="1" ht="18" customHeight="1" x14ac:dyDescent="0.15">
      <c r="A39" s="31"/>
      <c r="B39" s="68">
        <f t="shared" si="7"/>
        <v>0</v>
      </c>
      <c r="C39" s="32"/>
      <c r="D39" s="33"/>
      <c r="E39" s="34"/>
      <c r="F39" s="68">
        <f t="shared" si="8"/>
        <v>0</v>
      </c>
      <c r="G39" s="69"/>
      <c r="H39" s="19"/>
      <c r="I39" s="76"/>
      <c r="J39" s="55"/>
      <c r="K39" s="49"/>
      <c r="L39" s="50"/>
      <c r="M39" s="51"/>
      <c r="N39" s="51"/>
      <c r="O39" s="50"/>
    </row>
    <row r="40" spans="1:15" s="1" customFormat="1" ht="18" customHeight="1" x14ac:dyDescent="0.15">
      <c r="A40" s="31"/>
      <c r="B40" s="68">
        <f t="shared" si="7"/>
        <v>0</v>
      </c>
      <c r="C40" s="32"/>
      <c r="D40" s="33"/>
      <c r="E40" s="34"/>
      <c r="F40" s="68">
        <f t="shared" si="8"/>
        <v>0</v>
      </c>
      <c r="G40" s="69"/>
      <c r="H40" s="19"/>
      <c r="I40" s="9"/>
      <c r="J40" s="55"/>
      <c r="K40" s="49"/>
      <c r="L40" s="50"/>
      <c r="M40" s="51"/>
      <c r="N40" s="51"/>
      <c r="O40" s="50"/>
    </row>
    <row r="41" spans="1:15" s="1" customFormat="1" ht="18" customHeight="1" x14ac:dyDescent="0.15">
      <c r="A41" s="31"/>
      <c r="B41" s="68">
        <f t="shared" si="7"/>
        <v>0</v>
      </c>
      <c r="C41" s="32"/>
      <c r="D41" s="33"/>
      <c r="E41" s="34"/>
      <c r="F41" s="68">
        <f t="shared" si="8"/>
        <v>0</v>
      </c>
      <c r="G41" s="69"/>
      <c r="H41" s="19"/>
      <c r="I41" s="9"/>
      <c r="J41" s="55"/>
      <c r="K41" s="49"/>
      <c r="L41" s="50"/>
      <c r="M41" s="51"/>
      <c r="N41" s="51"/>
      <c r="O41" s="50"/>
    </row>
    <row r="42" spans="1:15" s="1" customFormat="1" ht="18" customHeight="1" x14ac:dyDescent="0.15">
      <c r="A42" s="31"/>
      <c r="B42" s="68">
        <f t="shared" si="7"/>
        <v>0</v>
      </c>
      <c r="C42" s="32"/>
      <c r="D42" s="33"/>
      <c r="E42" s="34"/>
      <c r="F42" s="68">
        <f t="shared" si="8"/>
        <v>0</v>
      </c>
      <c r="G42" s="69"/>
      <c r="H42" s="19"/>
      <c r="I42" s="9"/>
      <c r="J42" s="55"/>
      <c r="K42" s="49"/>
      <c r="L42" s="50"/>
      <c r="M42" s="51"/>
      <c r="N42" s="51"/>
      <c r="O42" s="50"/>
    </row>
    <row r="43" spans="1:15" s="1" customFormat="1" ht="18" customHeight="1" x14ac:dyDescent="0.15">
      <c r="A43" s="31"/>
      <c r="B43" s="68">
        <f t="shared" si="7"/>
        <v>0</v>
      </c>
      <c r="C43" s="32"/>
      <c r="D43" s="33"/>
      <c r="E43" s="34"/>
      <c r="F43" s="68">
        <f t="shared" si="8"/>
        <v>0</v>
      </c>
      <c r="G43" s="69"/>
      <c r="H43" s="19"/>
      <c r="I43" s="9"/>
      <c r="J43" s="55"/>
      <c r="K43" s="49"/>
      <c r="L43" s="50"/>
      <c r="M43" s="51"/>
      <c r="N43" s="51"/>
      <c r="O43" s="50"/>
    </row>
    <row r="44" spans="1:15" s="1" customFormat="1" ht="18" customHeight="1" x14ac:dyDescent="0.15">
      <c r="A44" s="31"/>
      <c r="B44" s="68">
        <f t="shared" si="7"/>
        <v>13378.75</v>
      </c>
      <c r="C44" s="32"/>
      <c r="D44" s="33"/>
      <c r="E44" s="34"/>
      <c r="F44" s="68">
        <f t="shared" si="8"/>
        <v>0</v>
      </c>
      <c r="G44" s="69">
        <v>13378.75</v>
      </c>
      <c r="H44" s="19"/>
      <c r="I44" s="9"/>
      <c r="J44" s="55"/>
      <c r="K44" s="49"/>
      <c r="L44" s="50"/>
      <c r="M44" s="51"/>
      <c r="N44" s="51"/>
      <c r="O44" s="50"/>
    </row>
    <row r="45" spans="1:15" s="1" customFormat="1" ht="18" customHeight="1" x14ac:dyDescent="0.15">
      <c r="A45" s="31"/>
      <c r="B45" s="68">
        <f t="shared" si="7"/>
        <v>0</v>
      </c>
      <c r="C45" s="32"/>
      <c r="D45" s="33"/>
      <c r="E45" s="34"/>
      <c r="F45" s="68">
        <f t="shared" si="8"/>
        <v>0</v>
      </c>
      <c r="G45" s="69"/>
      <c r="H45" s="19"/>
      <c r="I45" s="9">
        <v>50</v>
      </c>
      <c r="J45" s="55" t="s">
        <v>40</v>
      </c>
      <c r="K45" s="49" t="s">
        <v>41</v>
      </c>
      <c r="L45" s="50"/>
      <c r="M45" s="51"/>
      <c r="N45" s="51"/>
      <c r="O45" s="50"/>
    </row>
    <row r="46" spans="1:15" s="1" customFormat="1" ht="18" customHeight="1" x14ac:dyDescent="0.15">
      <c r="A46" s="31"/>
      <c r="B46" s="68">
        <f t="shared" si="7"/>
        <v>0</v>
      </c>
      <c r="C46" s="32"/>
      <c r="D46" s="33"/>
      <c r="E46" s="34"/>
      <c r="F46" s="68">
        <f t="shared" si="8"/>
        <v>0</v>
      </c>
      <c r="G46" s="69"/>
      <c r="H46" s="19"/>
      <c r="I46" s="9">
        <v>-42099</v>
      </c>
      <c r="J46" s="55" t="s">
        <v>98</v>
      </c>
      <c r="K46" s="49" t="s">
        <v>99</v>
      </c>
      <c r="L46" s="50"/>
      <c r="M46" s="51"/>
      <c r="N46" s="51"/>
      <c r="O46" s="50"/>
    </row>
    <row r="47" spans="1:15" s="1" customFormat="1" ht="18" customHeight="1" x14ac:dyDescent="0.15">
      <c r="A47" s="31"/>
      <c r="B47" s="68">
        <f t="shared" si="7"/>
        <v>0</v>
      </c>
      <c r="C47" s="32"/>
      <c r="D47" s="33"/>
      <c r="E47" s="34"/>
      <c r="F47" s="68">
        <f t="shared" si="8"/>
        <v>0</v>
      </c>
      <c r="G47" s="69"/>
      <c r="H47" s="19"/>
      <c r="I47" s="9">
        <v>42099</v>
      </c>
      <c r="J47" s="55" t="s">
        <v>100</v>
      </c>
      <c r="K47" s="49" t="s">
        <v>99</v>
      </c>
      <c r="L47" s="50"/>
      <c r="M47" s="51"/>
      <c r="N47" s="51"/>
      <c r="O47" s="50"/>
    </row>
    <row r="48" spans="1:15" s="1" customFormat="1" ht="18" customHeight="1" x14ac:dyDescent="0.15">
      <c r="A48" s="31"/>
      <c r="B48" s="68">
        <f t="shared" si="7"/>
        <v>254196.27</v>
      </c>
      <c r="C48" s="32"/>
      <c r="D48" s="33"/>
      <c r="E48" s="34"/>
      <c r="F48" s="68">
        <f t="shared" si="8"/>
        <v>0</v>
      </c>
      <c r="G48" s="69">
        <f>88000+82000+84196.27</f>
        <v>254196.27</v>
      </c>
      <c r="H48" s="19"/>
      <c r="I48" s="9">
        <f>G48</f>
        <v>254196.27</v>
      </c>
      <c r="J48" s="55" t="s">
        <v>40</v>
      </c>
      <c r="K48" s="49" t="s">
        <v>43</v>
      </c>
      <c r="L48" s="50"/>
      <c r="M48" s="51"/>
      <c r="N48" s="51"/>
      <c r="O48" s="50"/>
    </row>
    <row r="49" spans="1:15" ht="18" customHeight="1" x14ac:dyDescent="0.15">
      <c r="A49" s="26" t="s">
        <v>22</v>
      </c>
      <c r="B49" s="66">
        <f>SUM(B15:B48)</f>
        <v>12297769.699999999</v>
      </c>
      <c r="C49" s="26"/>
      <c r="D49" s="36"/>
      <c r="E49" s="36"/>
      <c r="F49" s="67">
        <f>SUM(F15:F32)</f>
        <v>0</v>
      </c>
      <c r="G49" s="71">
        <f>SUM(G15:G32)</f>
        <v>7829078.5499999998</v>
      </c>
      <c r="H49" s="38"/>
      <c r="I49" s="26">
        <f>SUM(I15:I48)</f>
        <v>12709813.050000001</v>
      </c>
      <c r="J49" s="56"/>
      <c r="K49" s="36"/>
      <c r="L49" s="29"/>
      <c r="M49" s="42"/>
      <c r="N49" s="42"/>
      <c r="O49" s="29"/>
    </row>
    <row r="50" spans="1:15" ht="18" customHeight="1" x14ac:dyDescent="0.15">
      <c r="A50" s="39" t="s">
        <v>46</v>
      </c>
      <c r="B50" s="39">
        <f>B12-B49</f>
        <v>41854.620388299198</v>
      </c>
      <c r="C50" s="39"/>
      <c r="D50" s="41"/>
      <c r="E50" s="41"/>
      <c r="F50" s="40"/>
      <c r="G50" s="39">
        <f>G12-G49</f>
        <v>4880734.5</v>
      </c>
      <c r="H50" s="18" t="s">
        <v>47</v>
      </c>
      <c r="I50" s="26">
        <f>I12-I49</f>
        <v>0</v>
      </c>
      <c r="J50" s="6"/>
      <c r="K50" s="57"/>
      <c r="M50" s="58"/>
      <c r="N50" s="58"/>
    </row>
    <row r="51" spans="1:15" ht="18" customHeight="1" x14ac:dyDescent="0.15">
      <c r="A51" s="2" t="s">
        <v>48</v>
      </c>
      <c r="C51" s="2"/>
    </row>
    <row r="52" spans="1:15" ht="18" customHeight="1" x14ac:dyDescent="0.15">
      <c r="A52" s="18" t="s">
        <v>49</v>
      </c>
      <c r="B52" s="17" t="s">
        <v>50</v>
      </c>
      <c r="C52" s="29"/>
      <c r="D52" s="18" t="s">
        <v>49</v>
      </c>
      <c r="E52" s="16" t="s">
        <v>16</v>
      </c>
      <c r="F52" s="17" t="s">
        <v>50</v>
      </c>
      <c r="G52" s="20" t="s">
        <v>51</v>
      </c>
    </row>
    <row r="53" spans="1:15" ht="18" customHeight="1" x14ac:dyDescent="0.15">
      <c r="A53" s="29" t="s">
        <v>52</v>
      </c>
      <c r="B53" s="14">
        <f>(B12-B49)*0.25</f>
        <v>10463.655097074799</v>
      </c>
      <c r="C53" s="29"/>
      <c r="D53" s="7" t="s">
        <v>53</v>
      </c>
      <c r="E53" s="42" t="s">
        <v>54</v>
      </c>
      <c r="F53" s="43">
        <f>F12-F49</f>
        <v>0</v>
      </c>
      <c r="G53" s="67">
        <f>F10</f>
        <v>0</v>
      </c>
      <c r="K53" s="3"/>
    </row>
    <row r="54" spans="1:15" ht="18" customHeight="1" x14ac:dyDescent="0.15">
      <c r="A54" s="29" t="s">
        <v>55</v>
      </c>
      <c r="B54" s="44" t="s">
        <v>56</v>
      </c>
      <c r="C54" s="29"/>
      <c r="D54" s="45" t="s">
        <v>57</v>
      </c>
      <c r="E54" s="11">
        <v>0.05</v>
      </c>
      <c r="F54" s="20">
        <f>F53*E54</f>
        <v>0</v>
      </c>
      <c r="G54" s="9">
        <f>G53*0.07</f>
        <v>0</v>
      </c>
    </row>
    <row r="55" spans="1:15" ht="18" customHeight="1" x14ac:dyDescent="0.15">
      <c r="A55" s="29" t="s">
        <v>58</v>
      </c>
      <c r="B55" s="44" t="s">
        <v>56</v>
      </c>
      <c r="C55" s="29"/>
      <c r="D55" s="45" t="s">
        <v>59</v>
      </c>
      <c r="E55" s="11">
        <v>0.03</v>
      </c>
      <c r="F55" s="20">
        <f>F53*E55</f>
        <v>0</v>
      </c>
      <c r="G55" s="9">
        <f>G53*E55</f>
        <v>0</v>
      </c>
    </row>
    <row r="56" spans="1:15" ht="18" customHeight="1" x14ac:dyDescent="0.15">
      <c r="A56" s="29"/>
      <c r="B56" s="20"/>
      <c r="C56" s="29"/>
      <c r="D56" s="45" t="s">
        <v>60</v>
      </c>
      <c r="E56" s="11">
        <v>0.02</v>
      </c>
      <c r="F56" s="20">
        <f>F53*E56</f>
        <v>0</v>
      </c>
      <c r="G56" s="9">
        <f>G53*E56</f>
        <v>0</v>
      </c>
    </row>
    <row r="57" spans="1:15" ht="18" customHeight="1" x14ac:dyDescent="0.15">
      <c r="A57" s="24" t="s">
        <v>61</v>
      </c>
      <c r="B57" s="25">
        <f>SUM(B53:B56)</f>
        <v>10463.655097074799</v>
      </c>
      <c r="C57" s="29"/>
      <c r="D57" s="24" t="s">
        <v>61</v>
      </c>
      <c r="E57" s="24"/>
      <c r="F57" s="28">
        <f>SUM(F53:F56)</f>
        <v>0</v>
      </c>
      <c r="G57" s="67">
        <f>SUM(G53:G56)</f>
        <v>0</v>
      </c>
    </row>
    <row r="58" spans="1:15" ht="20.100000000000001" customHeight="1" x14ac:dyDescent="0.15">
      <c r="C58" s="2"/>
      <c r="D58" s="26" t="s">
        <v>22</v>
      </c>
      <c r="E58" s="26"/>
      <c r="F58" s="27">
        <f>F57</f>
        <v>0</v>
      </c>
      <c r="G58" s="26">
        <f>G57</f>
        <v>0</v>
      </c>
    </row>
    <row r="59" spans="1:15" ht="21" customHeight="1" x14ac:dyDescent="0.15">
      <c r="C59" s="2"/>
      <c r="F59" s="72" t="s">
        <v>55</v>
      </c>
      <c r="G59" s="73">
        <f>G10*0.0003</f>
        <v>0</v>
      </c>
    </row>
    <row r="60" spans="1:15" ht="18" customHeight="1" x14ac:dyDescent="0.15">
      <c r="C60" s="2"/>
      <c r="F60" s="72" t="s">
        <v>58</v>
      </c>
      <c r="G60" s="9">
        <f>B10*0.0006</f>
        <v>0</v>
      </c>
    </row>
    <row r="61" spans="1:15" ht="18" customHeight="1" x14ac:dyDescent="0.15">
      <c r="C61" s="2"/>
      <c r="F61" s="72" t="s">
        <v>61</v>
      </c>
      <c r="G61" s="26">
        <f>SUM(G59:G60)</f>
        <v>0</v>
      </c>
    </row>
    <row r="62" spans="1:15" ht="18" customHeight="1" x14ac:dyDescent="0.15">
      <c r="C62" s="2"/>
      <c r="F62" s="72" t="s">
        <v>22</v>
      </c>
      <c r="G62" s="26">
        <f>G58+G61</f>
        <v>0</v>
      </c>
    </row>
    <row r="63" spans="1:15" x14ac:dyDescent="0.15">
      <c r="C63" s="2"/>
    </row>
    <row r="64" spans="1:15" x14ac:dyDescent="0.15">
      <c r="C64" s="2"/>
    </row>
    <row r="65" spans="3:3" x14ac:dyDescent="0.15">
      <c r="C65" s="2"/>
    </row>
    <row r="66" spans="3:3" x14ac:dyDescent="0.15">
      <c r="C66" s="2"/>
    </row>
    <row r="67" spans="3:3" x14ac:dyDescent="0.15">
      <c r="C67" s="2"/>
    </row>
    <row r="68" spans="3:3" x14ac:dyDescent="0.15">
      <c r="C68" s="2"/>
    </row>
    <row r="69" spans="3:3" x14ac:dyDescent="0.15">
      <c r="C69" s="2"/>
    </row>
    <row r="70" spans="3:3" x14ac:dyDescent="0.15">
      <c r="C70" s="2"/>
    </row>
    <row r="71" spans="3:3" x14ac:dyDescent="0.15">
      <c r="C71" s="2"/>
    </row>
    <row r="72" spans="3:3" x14ac:dyDescent="0.15">
      <c r="C72" s="2"/>
    </row>
    <row r="73" spans="3:3" x14ac:dyDescent="0.15">
      <c r="C73" s="2"/>
    </row>
    <row r="74" spans="3:3" x14ac:dyDescent="0.15">
      <c r="C74" s="2"/>
    </row>
    <row r="75" spans="3:3" x14ac:dyDescent="0.15">
      <c r="C75" s="2"/>
    </row>
    <row r="76" spans="3:3" x14ac:dyDescent="0.15">
      <c r="C76" s="2"/>
    </row>
    <row r="77" spans="3:3" x14ac:dyDescent="0.15">
      <c r="C77" s="2"/>
    </row>
    <row r="78" spans="3:3" x14ac:dyDescent="0.15">
      <c r="C78" s="2"/>
    </row>
  </sheetData>
  <autoFilter ref="A14:O62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22047244094499" right="0.23622047244094499" top="0.31496062992126" bottom="0.15748031496063" header="0.31496062992126" footer="0.31496062992126"/>
  <pageSetup paperSize="9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J6" sqref="J6"/>
    </sheetView>
  </sheetViews>
  <sheetFormatPr defaultRowHeight="21.75" customHeight="1" x14ac:dyDescent="0.15"/>
  <cols>
    <col min="1" max="1" width="33.875" style="89" customWidth="1"/>
    <col min="2" max="3" width="19.5" style="89" bestFit="1" customWidth="1"/>
    <col min="4" max="4" width="19.125" style="89" customWidth="1"/>
    <col min="5" max="16384" width="9" style="89"/>
  </cols>
  <sheetData>
    <row r="1" spans="1:4" ht="21.75" customHeight="1" x14ac:dyDescent="0.15">
      <c r="A1" s="88" t="s">
        <v>101</v>
      </c>
      <c r="B1" s="89" t="s">
        <v>104</v>
      </c>
      <c r="C1" s="89" t="s">
        <v>105</v>
      </c>
      <c r="D1" s="91" t="s">
        <v>106</v>
      </c>
    </row>
    <row r="2" spans="1:4" ht="21.75" customHeight="1" x14ac:dyDescent="0.15">
      <c r="A2" s="90" t="s">
        <v>82</v>
      </c>
      <c r="B2" s="89">
        <v>1000008.55</v>
      </c>
      <c r="C2" s="89">
        <v>1000008.55</v>
      </c>
      <c r="D2" s="89">
        <f>GETPIVOTDATA("求和项:价税合计",$A$1,"销货单位",A2)-GETPIVOTDATA("求和项:付款金额",$A$1,"销货单位",A2)</f>
        <v>0</v>
      </c>
    </row>
    <row r="3" spans="1:4" ht="21.75" customHeight="1" x14ac:dyDescent="0.15">
      <c r="A3" s="90" t="s">
        <v>79</v>
      </c>
      <c r="B3" s="89">
        <v>128700</v>
      </c>
      <c r="C3" s="89">
        <v>128700</v>
      </c>
      <c r="D3" s="89">
        <f t="shared" ref="D3:D12" si="0">GETPIVOTDATA("求和项:价税合计",$A$1,"销货单位",A3)-GETPIVOTDATA("求和项:付款金额",$A$1,"销货单位",A3)</f>
        <v>0</v>
      </c>
    </row>
    <row r="4" spans="1:4" ht="21.75" customHeight="1" x14ac:dyDescent="0.15">
      <c r="A4" s="90" t="s">
        <v>95</v>
      </c>
      <c r="B4" s="89">
        <v>1000000</v>
      </c>
      <c r="C4" s="89">
        <v>1000000</v>
      </c>
      <c r="D4" s="89">
        <f t="shared" si="0"/>
        <v>0</v>
      </c>
    </row>
    <row r="5" spans="1:4" ht="21.75" customHeight="1" x14ac:dyDescent="0.15">
      <c r="A5" s="90" t="s">
        <v>4</v>
      </c>
      <c r="B5" s="89">
        <v>6200370</v>
      </c>
      <c r="C5" s="89">
        <v>4880591.4499999993</v>
      </c>
      <c r="D5" s="89">
        <f t="shared" si="0"/>
        <v>1319778.5500000007</v>
      </c>
    </row>
    <row r="6" spans="1:4" ht="21.75" customHeight="1" x14ac:dyDescent="0.15">
      <c r="A6" s="90" t="s">
        <v>94</v>
      </c>
      <c r="B6" s="89">
        <v>1125813.05</v>
      </c>
      <c r="C6" s="89">
        <v>1083517.78</v>
      </c>
      <c r="D6" s="89">
        <f t="shared" si="0"/>
        <v>42295.270000000019</v>
      </c>
    </row>
    <row r="7" spans="1:4" ht="21.75" customHeight="1" x14ac:dyDescent="0.15">
      <c r="A7" s="90" t="s">
        <v>37</v>
      </c>
      <c r="B7" s="89">
        <v>75303.08</v>
      </c>
      <c r="C7" s="89">
        <v>42049</v>
      </c>
      <c r="D7" s="89">
        <f t="shared" si="0"/>
        <v>33254.080000000002</v>
      </c>
    </row>
    <row r="8" spans="1:4" ht="21.75" customHeight="1" x14ac:dyDescent="0.15">
      <c r="A8" s="90" t="s">
        <v>88</v>
      </c>
      <c r="B8" s="89">
        <v>500000</v>
      </c>
      <c r="C8" s="89">
        <v>420700</v>
      </c>
      <c r="D8" s="89">
        <f t="shared" si="0"/>
        <v>79300</v>
      </c>
    </row>
    <row r="9" spans="1:4" ht="21.75" customHeight="1" x14ac:dyDescent="0.15">
      <c r="A9" s="90" t="s">
        <v>91</v>
      </c>
      <c r="C9" s="89">
        <v>1900000</v>
      </c>
      <c r="D9" s="89">
        <f t="shared" si="0"/>
        <v>-1900000</v>
      </c>
    </row>
    <row r="10" spans="1:4" ht="21.75" customHeight="1" x14ac:dyDescent="0.15">
      <c r="A10" s="90" t="s">
        <v>92</v>
      </c>
      <c r="B10" s="89">
        <v>1000000</v>
      </c>
      <c r="C10" s="89">
        <v>1000000</v>
      </c>
      <c r="D10" s="89">
        <f t="shared" si="0"/>
        <v>0</v>
      </c>
    </row>
    <row r="11" spans="1:4" ht="21.75" customHeight="1" x14ac:dyDescent="0.15">
      <c r="A11" s="90" t="s">
        <v>97</v>
      </c>
      <c r="B11" s="89">
        <v>1000000</v>
      </c>
      <c r="C11" s="89">
        <v>1000000</v>
      </c>
      <c r="D11" s="89">
        <f t="shared" si="0"/>
        <v>0</v>
      </c>
    </row>
    <row r="12" spans="1:4" ht="21.75" customHeight="1" x14ac:dyDescent="0.15">
      <c r="A12" s="90" t="s">
        <v>102</v>
      </c>
      <c r="D12" s="89">
        <f t="shared" si="0"/>
        <v>0</v>
      </c>
    </row>
    <row r="13" spans="1:4" ht="21.75" customHeight="1" x14ac:dyDescent="0.15">
      <c r="A13" s="90" t="s">
        <v>103</v>
      </c>
      <c r="B13" s="89">
        <v>12030194.68</v>
      </c>
      <c r="C13" s="89">
        <v>12455566.779999999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7"/>
  <sheetViews>
    <sheetView topLeftCell="A7" workbookViewId="0">
      <selection activeCell="K26" sqref="K26"/>
    </sheetView>
  </sheetViews>
  <sheetFormatPr defaultColWidth="9" defaultRowHeight="11.25" x14ac:dyDescent="0.1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5" width="9" style="6"/>
    <col min="16" max="16" width="16.875" style="6" customWidth="1"/>
    <col min="17" max="16384" width="9" style="6"/>
  </cols>
  <sheetData>
    <row r="1" spans="1:17" ht="21.95" customHeight="1" x14ac:dyDescent="0.15">
      <c r="A1" s="80" t="s">
        <v>62</v>
      </c>
      <c r="B1" s="80"/>
      <c r="C1" s="80"/>
      <c r="D1" s="80"/>
      <c r="E1" s="80"/>
      <c r="F1" s="81"/>
      <c r="G1" s="81"/>
      <c r="H1" s="80"/>
      <c r="I1" s="81"/>
      <c r="J1" s="80"/>
      <c r="K1" s="15"/>
      <c r="L1" s="15"/>
    </row>
    <row r="2" spans="1:17" ht="18" customHeight="1" x14ac:dyDescent="0.15">
      <c r="A2" s="7" t="s">
        <v>1</v>
      </c>
      <c r="B2" s="8">
        <v>42895</v>
      </c>
      <c r="C2" s="9" t="s">
        <v>2</v>
      </c>
      <c r="D2" s="10">
        <v>12755206.279999999</v>
      </c>
      <c r="E2" s="11" t="s">
        <v>3</v>
      </c>
      <c r="F2" s="12" t="s">
        <v>4</v>
      </c>
      <c r="G2" s="13" t="s">
        <v>5</v>
      </c>
      <c r="H2" s="82" t="s">
        <v>6</v>
      </c>
      <c r="I2" s="83"/>
      <c r="J2" s="84"/>
      <c r="K2" s="15"/>
      <c r="L2" s="15"/>
    </row>
    <row r="3" spans="1:17" ht="18" customHeight="1" x14ac:dyDescent="0.15">
      <c r="A3" s="7" t="s">
        <v>7</v>
      </c>
      <c r="B3" s="14"/>
      <c r="C3" s="9" t="s">
        <v>8</v>
      </c>
      <c r="D3" s="9"/>
      <c r="H3" s="15"/>
      <c r="I3" s="46"/>
      <c r="J3" s="15"/>
      <c r="K3" s="15"/>
      <c r="L3" s="15"/>
    </row>
    <row r="4" spans="1:17" ht="18" customHeight="1" x14ac:dyDescent="0.15">
      <c r="A4" s="2" t="s">
        <v>9</v>
      </c>
      <c r="H4" s="15"/>
      <c r="I4" s="46"/>
      <c r="J4" s="15"/>
      <c r="K4" s="15"/>
      <c r="L4" s="15"/>
    </row>
    <row r="5" spans="1:17" ht="18" customHeight="1" x14ac:dyDescent="0.15">
      <c r="A5" s="85" t="s">
        <v>10</v>
      </c>
      <c r="B5" s="86" t="s">
        <v>11</v>
      </c>
      <c r="C5" s="85" t="s">
        <v>12</v>
      </c>
      <c r="D5" s="85"/>
      <c r="E5" s="85" t="s">
        <v>13</v>
      </c>
      <c r="F5" s="86"/>
      <c r="G5" s="86" t="s">
        <v>14</v>
      </c>
      <c r="H5" s="87" t="s">
        <v>15</v>
      </c>
      <c r="I5" s="86"/>
      <c r="J5" s="87"/>
    </row>
    <row r="6" spans="1:17" ht="18" customHeight="1" x14ac:dyDescent="0.15">
      <c r="A6" s="85"/>
      <c r="B6" s="86"/>
      <c r="C6" s="16" t="s">
        <v>16</v>
      </c>
      <c r="D6" s="16" t="s">
        <v>17</v>
      </c>
      <c r="E6" s="16" t="s">
        <v>16</v>
      </c>
      <c r="F6" s="17" t="s">
        <v>17</v>
      </c>
      <c r="G6" s="86"/>
      <c r="H6" s="18" t="s">
        <v>18</v>
      </c>
      <c r="I6" s="17" t="s">
        <v>19</v>
      </c>
      <c r="J6" s="18" t="s">
        <v>20</v>
      </c>
    </row>
    <row r="7" spans="1:17" ht="18" customHeight="1" x14ac:dyDescent="0.15">
      <c r="A7" s="19" t="s">
        <v>63</v>
      </c>
      <c r="B7" s="20">
        <f>G7/(1+C7+E7)</f>
        <v>4271844.6601941697</v>
      </c>
      <c r="C7" s="21">
        <v>0.03</v>
      </c>
      <c r="D7" s="22">
        <f>G7/(1+E7+C7)*C7</f>
        <v>128155.339805825</v>
      </c>
      <c r="E7" s="21"/>
      <c r="F7" s="20"/>
      <c r="G7" s="23">
        <v>4400000</v>
      </c>
      <c r="H7" s="19" t="s">
        <v>63</v>
      </c>
      <c r="I7" s="20">
        <v>4400000</v>
      </c>
      <c r="J7" s="42" t="s">
        <v>64</v>
      </c>
    </row>
    <row r="8" spans="1:17" ht="18" customHeight="1" x14ac:dyDescent="0.15">
      <c r="A8" s="19" t="s">
        <v>65</v>
      </c>
      <c r="B8" s="20">
        <f t="shared" ref="B8:B10" si="0">G8/(1+C8+E8)</f>
        <v>3980582.5242718402</v>
      </c>
      <c r="C8" s="21">
        <v>0.03</v>
      </c>
      <c r="D8" s="22">
        <f t="shared" ref="D8:D10" si="1">G8/(1+E8+C8)*C8</f>
        <v>119417.475728155</v>
      </c>
      <c r="E8" s="21"/>
      <c r="F8" s="20"/>
      <c r="G8" s="23">
        <v>4100000</v>
      </c>
      <c r="H8" s="19" t="s">
        <v>66</v>
      </c>
      <c r="I8" s="20">
        <v>4100000</v>
      </c>
      <c r="J8" s="42" t="s">
        <v>64</v>
      </c>
      <c r="P8" s="47" t="s">
        <v>67</v>
      </c>
      <c r="Q8" s="59" t="s">
        <v>68</v>
      </c>
    </row>
    <row r="9" spans="1:17" ht="18" customHeight="1" x14ac:dyDescent="0.15">
      <c r="A9" s="19">
        <v>43485</v>
      </c>
      <c r="B9" s="20">
        <f t="shared" si="0"/>
        <v>4087197.13592233</v>
      </c>
      <c r="C9" s="21">
        <v>0.03</v>
      </c>
      <c r="D9" s="22">
        <f t="shared" si="1"/>
        <v>122615.91407766999</v>
      </c>
      <c r="E9" s="21"/>
      <c r="F9" s="20">
        <f t="shared" ref="F9:F10" si="2">G9/(1+C9+E9)*E9</f>
        <v>0</v>
      </c>
      <c r="G9" s="23">
        <v>4209813.05</v>
      </c>
      <c r="H9" s="19">
        <v>43497</v>
      </c>
      <c r="I9" s="20">
        <v>4209813.05</v>
      </c>
      <c r="J9" s="42" t="s">
        <v>64</v>
      </c>
    </row>
    <row r="10" spans="1:17" ht="18" customHeight="1" x14ac:dyDescent="0.15">
      <c r="A10" s="19"/>
      <c r="B10" s="20">
        <f t="shared" si="0"/>
        <v>0</v>
      </c>
      <c r="C10" s="21">
        <v>0.02</v>
      </c>
      <c r="D10" s="22">
        <f t="shared" si="1"/>
        <v>0</v>
      </c>
      <c r="E10" s="21"/>
      <c r="F10" s="20">
        <f t="shared" si="2"/>
        <v>0</v>
      </c>
      <c r="G10" s="23"/>
      <c r="H10" s="19"/>
      <c r="I10" s="20"/>
      <c r="J10" s="42"/>
    </row>
    <row r="11" spans="1:17" ht="18" customHeight="1" x14ac:dyDescent="0.15">
      <c r="A11" s="24" t="s">
        <v>22</v>
      </c>
      <c r="B11" s="25">
        <f>SUM(B7:B10)</f>
        <v>12339624.3203883</v>
      </c>
      <c r="C11" s="26"/>
      <c r="D11" s="27">
        <f t="shared" ref="D11:G11" si="3">SUM(D7:D10)</f>
        <v>370188.72961164999</v>
      </c>
      <c r="E11" s="26"/>
      <c r="F11" s="28">
        <f t="shared" si="3"/>
        <v>0</v>
      </c>
      <c r="G11" s="27">
        <f t="shared" si="3"/>
        <v>12709813.050000001</v>
      </c>
      <c r="H11" s="29"/>
      <c r="I11" s="27">
        <f>SUM(I7:I10)</f>
        <v>12709813.050000001</v>
      </c>
      <c r="J11" s="29"/>
    </row>
    <row r="12" spans="1:17" ht="18" customHeight="1" x14ac:dyDescent="0.15">
      <c r="A12" s="2" t="s">
        <v>23</v>
      </c>
      <c r="J12" s="4"/>
      <c r="K12" s="4"/>
      <c r="L12" s="5"/>
    </row>
    <row r="13" spans="1:17" ht="18" customHeight="1" x14ac:dyDescent="0.15">
      <c r="A13" s="30" t="s">
        <v>24</v>
      </c>
      <c r="B13" s="17" t="s">
        <v>25</v>
      </c>
      <c r="C13" s="16" t="s">
        <v>26</v>
      </c>
      <c r="D13" s="16" t="s">
        <v>27</v>
      </c>
      <c r="E13" s="16" t="s">
        <v>16</v>
      </c>
      <c r="F13" s="17" t="s">
        <v>28</v>
      </c>
      <c r="G13" s="17" t="s">
        <v>14</v>
      </c>
      <c r="H13" s="16" t="s">
        <v>29</v>
      </c>
      <c r="I13" s="17" t="s">
        <v>30</v>
      </c>
      <c r="J13" s="16" t="s">
        <v>20</v>
      </c>
      <c r="K13" s="48" t="s">
        <v>31</v>
      </c>
      <c r="L13" s="18" t="s">
        <v>32</v>
      </c>
      <c r="M13" s="18" t="s">
        <v>33</v>
      </c>
      <c r="N13" s="18" t="s">
        <v>34</v>
      </c>
      <c r="O13" s="18" t="s">
        <v>35</v>
      </c>
    </row>
    <row r="14" spans="1:17" s="1" customFormat="1" ht="18" customHeight="1" x14ac:dyDescent="0.15">
      <c r="A14" s="31">
        <v>42979</v>
      </c>
      <c r="B14" s="14">
        <f>ROUND(G14/(1+E14),2)</f>
        <v>198800</v>
      </c>
      <c r="C14" s="32"/>
      <c r="D14" s="33"/>
      <c r="E14" s="34"/>
      <c r="F14" s="14">
        <f>ROUND(G14/(1+E14)*E14,2)</f>
        <v>0</v>
      </c>
      <c r="G14" s="23">
        <v>198800</v>
      </c>
      <c r="H14" s="19"/>
      <c r="I14" s="20"/>
      <c r="J14" s="42"/>
      <c r="K14" s="49" t="s">
        <v>4</v>
      </c>
      <c r="L14" s="50" t="s">
        <v>69</v>
      </c>
      <c r="M14" s="51"/>
      <c r="N14" s="51"/>
      <c r="O14" s="50" t="s">
        <v>70</v>
      </c>
    </row>
    <row r="15" spans="1:17" s="1" customFormat="1" ht="18" customHeight="1" x14ac:dyDescent="0.15">
      <c r="A15" s="31">
        <v>42979</v>
      </c>
      <c r="B15" s="14">
        <f t="shared" ref="B15:B47" si="4">ROUND(G15/(1+E15),2)</f>
        <v>197680</v>
      </c>
      <c r="C15" s="32"/>
      <c r="D15" s="33"/>
      <c r="E15" s="34"/>
      <c r="F15" s="14">
        <f t="shared" ref="F15:F47" si="5">ROUND(G15/(1+E15)*E15,2)</f>
        <v>0</v>
      </c>
      <c r="G15" s="23">
        <v>197680</v>
      </c>
      <c r="H15" s="19"/>
      <c r="I15" s="20"/>
      <c r="J15" s="42"/>
      <c r="K15" s="49" t="s">
        <v>4</v>
      </c>
      <c r="L15" s="50" t="s">
        <v>69</v>
      </c>
      <c r="M15" s="51"/>
      <c r="N15" s="51"/>
      <c r="O15" s="50" t="s">
        <v>70</v>
      </c>
    </row>
    <row r="16" spans="1:17" s="1" customFormat="1" ht="18" customHeight="1" x14ac:dyDescent="0.15">
      <c r="A16" s="31">
        <v>43009</v>
      </c>
      <c r="B16" s="14">
        <f t="shared" si="4"/>
        <v>197540</v>
      </c>
      <c r="C16" s="32"/>
      <c r="D16" s="33"/>
      <c r="E16" s="34"/>
      <c r="F16" s="14">
        <f t="shared" si="5"/>
        <v>0</v>
      </c>
      <c r="G16" s="23">
        <v>197540</v>
      </c>
      <c r="H16" s="19"/>
      <c r="I16" s="52">
        <v>198000</v>
      </c>
      <c r="J16" s="42"/>
      <c r="K16" s="49" t="s">
        <v>4</v>
      </c>
      <c r="L16" s="50" t="s">
        <v>69</v>
      </c>
      <c r="M16" s="51"/>
      <c r="N16" s="51"/>
      <c r="O16" s="50" t="s">
        <v>70</v>
      </c>
    </row>
    <row r="17" spans="1:15" s="1" customFormat="1" ht="18" customHeight="1" x14ac:dyDescent="0.15">
      <c r="A17" s="31">
        <v>43040</v>
      </c>
      <c r="B17" s="14">
        <f t="shared" si="4"/>
        <v>96210</v>
      </c>
      <c r="C17" s="32"/>
      <c r="D17" s="33"/>
      <c r="E17" s="34"/>
      <c r="F17" s="14">
        <f t="shared" si="5"/>
        <v>0</v>
      </c>
      <c r="G17" s="23">
        <v>96210</v>
      </c>
      <c r="H17" s="19" t="s">
        <v>71</v>
      </c>
      <c r="I17" s="52">
        <v>500000</v>
      </c>
      <c r="J17" s="42" t="s">
        <v>72</v>
      </c>
      <c r="K17" s="49" t="s">
        <v>4</v>
      </c>
      <c r="L17" s="50" t="s">
        <v>73</v>
      </c>
      <c r="M17" s="51"/>
      <c r="N17" s="51"/>
      <c r="O17" s="50" t="s">
        <v>74</v>
      </c>
    </row>
    <row r="18" spans="1:15" s="1" customFormat="1" ht="18" customHeight="1" x14ac:dyDescent="0.15">
      <c r="A18" s="31">
        <v>43040</v>
      </c>
      <c r="B18" s="14">
        <f t="shared" si="4"/>
        <v>900000</v>
      </c>
      <c r="C18" s="32"/>
      <c r="D18" s="33"/>
      <c r="E18" s="34"/>
      <c r="F18" s="14">
        <f t="shared" si="5"/>
        <v>0</v>
      </c>
      <c r="G18" s="23">
        <v>900000</v>
      </c>
      <c r="H18" s="19" t="s">
        <v>71</v>
      </c>
      <c r="I18" s="52">
        <v>900000</v>
      </c>
      <c r="J18" s="42" t="s">
        <v>72</v>
      </c>
      <c r="K18" s="49" t="s">
        <v>4</v>
      </c>
      <c r="L18" s="50" t="s">
        <v>75</v>
      </c>
      <c r="M18" s="51"/>
      <c r="N18" s="51"/>
      <c r="O18" s="50" t="s">
        <v>74</v>
      </c>
    </row>
    <row r="19" spans="1:15" s="1" customFormat="1" ht="18" customHeight="1" x14ac:dyDescent="0.15">
      <c r="A19" s="31"/>
      <c r="B19" s="14"/>
      <c r="C19" s="32"/>
      <c r="D19" s="33"/>
      <c r="E19" s="34"/>
      <c r="F19" s="14"/>
      <c r="G19" s="23"/>
      <c r="H19" s="19" t="s">
        <v>76</v>
      </c>
      <c r="I19" s="20">
        <v>-128700</v>
      </c>
      <c r="J19" s="42" t="s">
        <v>72</v>
      </c>
      <c r="K19" s="49" t="s">
        <v>4</v>
      </c>
      <c r="L19" s="50"/>
      <c r="M19" s="51"/>
      <c r="N19" s="51"/>
      <c r="O19" s="50" t="s">
        <v>77</v>
      </c>
    </row>
    <row r="20" spans="1:15" s="1" customFormat="1" ht="18" customHeight="1" x14ac:dyDescent="0.15">
      <c r="A20" s="31">
        <v>43040</v>
      </c>
      <c r="B20" s="14">
        <f t="shared" si="4"/>
        <v>128700</v>
      </c>
      <c r="C20" s="32"/>
      <c r="D20" s="33"/>
      <c r="E20" s="34"/>
      <c r="F20" s="14">
        <f t="shared" si="5"/>
        <v>0</v>
      </c>
      <c r="G20" s="23">
        <v>128700</v>
      </c>
      <c r="H20" s="19" t="s">
        <v>78</v>
      </c>
      <c r="I20" s="20">
        <v>128700</v>
      </c>
      <c r="J20" s="42" t="s">
        <v>64</v>
      </c>
      <c r="K20" s="49" t="s">
        <v>79</v>
      </c>
      <c r="L20" s="50" t="s">
        <v>80</v>
      </c>
      <c r="M20" s="51"/>
      <c r="N20" s="51"/>
      <c r="O20" s="50" t="s">
        <v>74</v>
      </c>
    </row>
    <row r="21" spans="1:15" s="1" customFormat="1" ht="18" customHeight="1" x14ac:dyDescent="0.15">
      <c r="A21" s="31">
        <v>43040</v>
      </c>
      <c r="B21" s="14">
        <f t="shared" si="4"/>
        <v>1500000</v>
      </c>
      <c r="C21" s="32"/>
      <c r="D21" s="33"/>
      <c r="E21" s="34"/>
      <c r="F21" s="14">
        <f t="shared" si="5"/>
        <v>0</v>
      </c>
      <c r="G21" s="23">
        <v>1500000</v>
      </c>
      <c r="H21" s="19" t="s">
        <v>71</v>
      </c>
      <c r="I21" s="53">
        <v>307837.65000000002</v>
      </c>
      <c r="J21" s="42" t="s">
        <v>72</v>
      </c>
      <c r="K21" s="49" t="s">
        <v>4</v>
      </c>
      <c r="L21" s="50" t="s">
        <v>81</v>
      </c>
      <c r="M21" s="51"/>
      <c r="N21" s="51"/>
      <c r="O21" s="50" t="s">
        <v>74</v>
      </c>
    </row>
    <row r="22" spans="1:15" s="1" customFormat="1" ht="18" customHeight="1" x14ac:dyDescent="0.15">
      <c r="A22" s="31">
        <v>43040</v>
      </c>
      <c r="B22" s="14">
        <f t="shared" si="4"/>
        <v>800002.35</v>
      </c>
      <c r="C22" s="32"/>
      <c r="D22" s="33"/>
      <c r="E22" s="34"/>
      <c r="F22" s="14">
        <f t="shared" si="5"/>
        <v>0</v>
      </c>
      <c r="G22" s="23">
        <v>800002.35</v>
      </c>
      <c r="H22" s="19" t="s">
        <v>71</v>
      </c>
      <c r="I22" s="52">
        <v>800002.35</v>
      </c>
      <c r="J22" s="42" t="s">
        <v>64</v>
      </c>
      <c r="K22" s="49" t="s">
        <v>82</v>
      </c>
      <c r="L22" s="50" t="s">
        <v>73</v>
      </c>
      <c r="M22" s="51"/>
      <c r="N22" s="51"/>
      <c r="O22" s="50" t="s">
        <v>74</v>
      </c>
    </row>
    <row r="23" spans="1:15" s="1" customFormat="1" ht="18" customHeight="1" x14ac:dyDescent="0.15">
      <c r="A23" s="31"/>
      <c r="B23" s="14"/>
      <c r="C23" s="32"/>
      <c r="D23" s="33"/>
      <c r="E23" s="34"/>
      <c r="F23" s="14"/>
      <c r="G23" s="23"/>
      <c r="H23" s="19" t="s">
        <v>71</v>
      </c>
      <c r="I23" s="52">
        <v>776160</v>
      </c>
      <c r="J23" s="42" t="s">
        <v>72</v>
      </c>
      <c r="K23" s="49" t="s">
        <v>4</v>
      </c>
      <c r="L23" s="50" t="s">
        <v>83</v>
      </c>
      <c r="M23" s="51"/>
      <c r="N23" s="51"/>
      <c r="O23" s="50"/>
    </row>
    <row r="24" spans="1:15" s="1" customFormat="1" ht="18" customHeight="1" x14ac:dyDescent="0.15">
      <c r="A24" s="31">
        <v>43040</v>
      </c>
      <c r="B24" s="14">
        <f t="shared" si="4"/>
        <v>210140</v>
      </c>
      <c r="C24" s="32"/>
      <c r="D24" s="33"/>
      <c r="E24" s="34"/>
      <c r="F24" s="14">
        <f t="shared" si="5"/>
        <v>0</v>
      </c>
      <c r="G24" s="23">
        <v>210140</v>
      </c>
      <c r="H24" s="19" t="s">
        <v>84</v>
      </c>
      <c r="I24" s="20">
        <v>497293.8</v>
      </c>
      <c r="J24" s="42" t="s">
        <v>72</v>
      </c>
      <c r="K24" s="49" t="s">
        <v>4</v>
      </c>
      <c r="L24" s="50" t="s">
        <v>69</v>
      </c>
      <c r="M24" s="51"/>
      <c r="N24" s="51"/>
      <c r="O24" s="50" t="s">
        <v>74</v>
      </c>
    </row>
    <row r="25" spans="1:15" s="1" customFormat="1" ht="18" customHeight="1" x14ac:dyDescent="0.15">
      <c r="A25" s="31">
        <v>43070</v>
      </c>
      <c r="B25" s="14">
        <f t="shared" si="4"/>
        <v>500000</v>
      </c>
      <c r="C25" s="32"/>
      <c r="D25" s="33"/>
      <c r="E25" s="34"/>
      <c r="F25" s="14">
        <f t="shared" si="5"/>
        <v>0</v>
      </c>
      <c r="G25" s="23">
        <v>500000</v>
      </c>
      <c r="H25" s="19" t="s">
        <v>71</v>
      </c>
      <c r="I25" s="52">
        <v>500000</v>
      </c>
      <c r="J25" s="42" t="s">
        <v>72</v>
      </c>
      <c r="K25" s="49" t="s">
        <v>4</v>
      </c>
      <c r="L25" s="50" t="s">
        <v>85</v>
      </c>
      <c r="M25" s="51"/>
      <c r="N25" s="51"/>
      <c r="O25" s="50" t="s">
        <v>74</v>
      </c>
    </row>
    <row r="26" spans="1:15" s="1" customFormat="1" ht="18" customHeight="1" x14ac:dyDescent="0.15">
      <c r="A26" s="31">
        <v>43070</v>
      </c>
      <c r="B26" s="14">
        <f t="shared" si="4"/>
        <v>500000</v>
      </c>
      <c r="C26" s="32"/>
      <c r="D26" s="33"/>
      <c r="E26" s="34"/>
      <c r="F26" s="14">
        <f t="shared" si="5"/>
        <v>0</v>
      </c>
      <c r="G26" s="23">
        <v>500000</v>
      </c>
      <c r="H26" s="19" t="s">
        <v>71</v>
      </c>
      <c r="I26" s="52">
        <v>500000</v>
      </c>
      <c r="J26" s="42" t="s">
        <v>72</v>
      </c>
      <c r="K26" s="49" t="s">
        <v>4</v>
      </c>
      <c r="L26" s="50" t="s">
        <v>86</v>
      </c>
      <c r="M26" s="51"/>
      <c r="N26" s="51"/>
      <c r="O26" s="50" t="s">
        <v>74</v>
      </c>
    </row>
    <row r="27" spans="1:15" s="1" customFormat="1" ht="18" customHeight="1" x14ac:dyDescent="0.15">
      <c r="A27" s="31">
        <v>43070</v>
      </c>
      <c r="B27" s="14">
        <f t="shared" si="4"/>
        <v>500000</v>
      </c>
      <c r="C27" s="32"/>
      <c r="D27" s="33"/>
      <c r="E27" s="34"/>
      <c r="F27" s="14">
        <f t="shared" si="5"/>
        <v>0</v>
      </c>
      <c r="G27" s="23">
        <v>500000</v>
      </c>
      <c r="H27" s="19" t="s">
        <v>87</v>
      </c>
      <c r="I27" s="20">
        <v>420700</v>
      </c>
      <c r="J27" s="42" t="s">
        <v>72</v>
      </c>
      <c r="K27" s="54" t="s">
        <v>88</v>
      </c>
      <c r="L27" s="50" t="s">
        <v>89</v>
      </c>
      <c r="M27" s="51"/>
      <c r="N27" s="51"/>
      <c r="O27" s="50" t="s">
        <v>74</v>
      </c>
    </row>
    <row r="28" spans="1:15" s="1" customFormat="1" ht="18" customHeight="1" x14ac:dyDescent="0.15">
      <c r="A28" s="31">
        <v>43118</v>
      </c>
      <c r="B28" s="14">
        <f t="shared" si="4"/>
        <v>1000000</v>
      </c>
      <c r="C28" s="32"/>
      <c r="D28" s="33"/>
      <c r="E28" s="34"/>
      <c r="F28" s="14">
        <f t="shared" si="5"/>
        <v>0</v>
      </c>
      <c r="G28" s="23">
        <v>1000000</v>
      </c>
      <c r="H28" s="19" t="s">
        <v>87</v>
      </c>
      <c r="I28" s="20">
        <v>1000000</v>
      </c>
      <c r="J28" s="42" t="s">
        <v>64</v>
      </c>
      <c r="K28" s="49" t="s">
        <v>4</v>
      </c>
      <c r="L28" s="50" t="s">
        <v>81</v>
      </c>
      <c r="M28" s="51"/>
      <c r="N28" s="51"/>
      <c r="O28" s="50" t="s">
        <v>74</v>
      </c>
    </row>
    <row r="29" spans="1:15" s="1" customFormat="1" ht="18" customHeight="1" x14ac:dyDescent="0.15">
      <c r="A29" s="31">
        <v>43132</v>
      </c>
      <c r="B29" s="14">
        <f t="shared" si="4"/>
        <v>200006.2</v>
      </c>
      <c r="C29" s="32"/>
      <c r="D29" s="33"/>
      <c r="E29" s="34"/>
      <c r="F29" s="14">
        <f t="shared" si="5"/>
        <v>0</v>
      </c>
      <c r="G29" s="23">
        <v>200006.2</v>
      </c>
      <c r="H29" s="19" t="s">
        <v>87</v>
      </c>
      <c r="I29" s="20">
        <v>200006.2</v>
      </c>
      <c r="J29" s="42" t="s">
        <v>64</v>
      </c>
      <c r="K29" s="49" t="s">
        <v>82</v>
      </c>
      <c r="L29" s="50" t="s">
        <v>73</v>
      </c>
      <c r="M29" s="51"/>
      <c r="N29" s="51"/>
      <c r="O29" s="50" t="s">
        <v>74</v>
      </c>
    </row>
    <row r="30" spans="1:15" s="1" customFormat="1" ht="18" customHeight="1" x14ac:dyDescent="0.15">
      <c r="A30" s="31">
        <v>43132</v>
      </c>
      <c r="B30" s="14">
        <f t="shared" si="4"/>
        <v>900000</v>
      </c>
      <c r="C30" s="32"/>
      <c r="D30" s="33"/>
      <c r="E30" s="34"/>
      <c r="F30" s="14">
        <f t="shared" si="5"/>
        <v>0</v>
      </c>
      <c r="G30" s="23">
        <v>900000</v>
      </c>
      <c r="H30" s="19"/>
      <c r="I30" s="20"/>
      <c r="J30" s="42" t="s">
        <v>64</v>
      </c>
      <c r="K30" s="49" t="s">
        <v>4</v>
      </c>
      <c r="L30" s="50" t="s">
        <v>90</v>
      </c>
      <c r="M30" s="51"/>
      <c r="N30" s="51"/>
      <c r="O30" s="50" t="s">
        <v>74</v>
      </c>
    </row>
    <row r="31" spans="1:15" s="1" customFormat="1" ht="18" customHeight="1" x14ac:dyDescent="0.15">
      <c r="A31" s="31"/>
      <c r="B31" s="14">
        <f t="shared" si="4"/>
        <v>0</v>
      </c>
      <c r="C31" s="32"/>
      <c r="D31" s="33"/>
      <c r="E31" s="34"/>
      <c r="F31" s="14">
        <f t="shared" si="5"/>
        <v>0</v>
      </c>
      <c r="G31" s="23"/>
      <c r="H31" s="19" t="s">
        <v>87</v>
      </c>
      <c r="I31" s="20">
        <v>1900000</v>
      </c>
      <c r="J31" s="42" t="s">
        <v>72</v>
      </c>
      <c r="K31" s="49" t="s">
        <v>91</v>
      </c>
      <c r="L31" s="50"/>
      <c r="M31" s="51"/>
      <c r="N31" s="51"/>
      <c r="O31" s="50"/>
    </row>
    <row r="32" spans="1:15" s="1" customFormat="1" ht="18" customHeight="1" x14ac:dyDescent="0.15">
      <c r="A32" s="31">
        <v>43466</v>
      </c>
      <c r="B32" s="14">
        <f t="shared" si="4"/>
        <v>1000000</v>
      </c>
      <c r="C32" s="32"/>
      <c r="D32" s="33" t="s">
        <v>36</v>
      </c>
      <c r="E32" s="34"/>
      <c r="F32" s="14">
        <f t="shared" si="5"/>
        <v>0</v>
      </c>
      <c r="G32" s="35">
        <v>1000000</v>
      </c>
      <c r="H32" s="19">
        <v>43498</v>
      </c>
      <c r="I32" s="20">
        <v>1000000</v>
      </c>
      <c r="J32" s="42" t="s">
        <v>72</v>
      </c>
      <c r="K32" s="49" t="s">
        <v>92</v>
      </c>
      <c r="L32" s="50" t="s">
        <v>93</v>
      </c>
      <c r="M32" s="51"/>
      <c r="N32" s="51"/>
      <c r="O32" s="50"/>
    </row>
    <row r="33" spans="1:15" s="1" customFormat="1" ht="18" customHeight="1" x14ac:dyDescent="0.15">
      <c r="A33" s="31">
        <v>43466</v>
      </c>
      <c r="B33" s="14">
        <f t="shared" si="4"/>
        <v>1125813.05</v>
      </c>
      <c r="C33" s="32"/>
      <c r="D33" s="33" t="s">
        <v>36</v>
      </c>
      <c r="E33" s="34"/>
      <c r="F33" s="14">
        <f t="shared" si="5"/>
        <v>0</v>
      </c>
      <c r="G33" s="35">
        <v>1125813.05</v>
      </c>
      <c r="H33" s="19">
        <v>43498</v>
      </c>
      <c r="I33" s="20">
        <v>1083517.78</v>
      </c>
      <c r="J33" s="42" t="s">
        <v>72</v>
      </c>
      <c r="K33" s="49" t="s">
        <v>94</v>
      </c>
      <c r="L33" s="50" t="s">
        <v>93</v>
      </c>
      <c r="M33" s="51"/>
      <c r="N33" s="51"/>
      <c r="O33" s="50"/>
    </row>
    <row r="34" spans="1:15" s="1" customFormat="1" ht="18" customHeight="1" x14ac:dyDescent="0.15">
      <c r="A34" s="31">
        <v>43466</v>
      </c>
      <c r="B34" s="14">
        <f t="shared" si="4"/>
        <v>1000000</v>
      </c>
      <c r="C34" s="32"/>
      <c r="D34" s="33" t="s">
        <v>36</v>
      </c>
      <c r="E34" s="34"/>
      <c r="F34" s="14">
        <f t="shared" si="5"/>
        <v>0</v>
      </c>
      <c r="G34" s="35">
        <v>1000000</v>
      </c>
      <c r="H34" s="19">
        <v>43498</v>
      </c>
      <c r="I34" s="20">
        <v>1000000</v>
      </c>
      <c r="J34" s="42" t="s">
        <v>72</v>
      </c>
      <c r="K34" s="49" t="s">
        <v>95</v>
      </c>
      <c r="L34" s="50" t="s">
        <v>96</v>
      </c>
      <c r="M34" s="51"/>
      <c r="N34" s="51"/>
      <c r="O34" s="50"/>
    </row>
    <row r="35" spans="1:15" s="1" customFormat="1" ht="18" customHeight="1" x14ac:dyDescent="0.15">
      <c r="A35" s="31">
        <v>43466</v>
      </c>
      <c r="B35" s="14">
        <f t="shared" si="4"/>
        <v>1000000</v>
      </c>
      <c r="C35" s="32"/>
      <c r="D35" s="33" t="s">
        <v>36</v>
      </c>
      <c r="E35" s="34"/>
      <c r="F35" s="14">
        <f t="shared" si="5"/>
        <v>0</v>
      </c>
      <c r="G35" s="35">
        <v>1000000</v>
      </c>
      <c r="H35" s="19">
        <v>43498</v>
      </c>
      <c r="I35" s="20">
        <v>1000000</v>
      </c>
      <c r="J35" s="42" t="s">
        <v>72</v>
      </c>
      <c r="K35" s="49" t="s">
        <v>97</v>
      </c>
      <c r="L35" s="50" t="s">
        <v>96</v>
      </c>
      <c r="M35" s="51"/>
      <c r="N35" s="51"/>
      <c r="O35" s="50"/>
    </row>
    <row r="36" spans="1:15" s="1" customFormat="1" ht="18" customHeight="1" x14ac:dyDescent="0.15">
      <c r="A36" s="31"/>
      <c r="B36" s="14">
        <f t="shared" si="4"/>
        <v>0</v>
      </c>
      <c r="C36" s="32"/>
      <c r="D36" s="33"/>
      <c r="E36" s="34"/>
      <c r="F36" s="14">
        <f t="shared" si="5"/>
        <v>0</v>
      </c>
      <c r="G36" s="35"/>
      <c r="H36" s="19"/>
      <c r="I36" s="20"/>
      <c r="J36" s="55"/>
      <c r="K36" s="49"/>
      <c r="L36" s="50"/>
      <c r="M36" s="51"/>
      <c r="N36" s="51"/>
      <c r="O36" s="50"/>
    </row>
    <row r="37" spans="1:15" s="1" customFormat="1" ht="18" customHeight="1" x14ac:dyDescent="0.15">
      <c r="A37" s="31"/>
      <c r="B37" s="14">
        <f t="shared" si="4"/>
        <v>0</v>
      </c>
      <c r="C37" s="32"/>
      <c r="D37" s="33"/>
      <c r="E37" s="34"/>
      <c r="F37" s="14">
        <f t="shared" si="5"/>
        <v>0</v>
      </c>
      <c r="G37" s="35"/>
      <c r="H37" s="19"/>
      <c r="I37" s="20"/>
      <c r="J37" s="55"/>
      <c r="K37" s="49"/>
      <c r="L37" s="50"/>
      <c r="M37" s="51"/>
      <c r="N37" s="51"/>
      <c r="O37" s="50"/>
    </row>
    <row r="38" spans="1:15" s="1" customFormat="1" ht="18" customHeight="1" x14ac:dyDescent="0.15">
      <c r="A38" s="31"/>
      <c r="B38" s="14">
        <f t="shared" si="4"/>
        <v>0</v>
      </c>
      <c r="C38" s="32"/>
      <c r="D38" s="33"/>
      <c r="E38" s="34"/>
      <c r="F38" s="14">
        <f t="shared" si="5"/>
        <v>0</v>
      </c>
      <c r="G38" s="35"/>
      <c r="H38" s="19"/>
      <c r="I38" s="20"/>
      <c r="J38" s="55"/>
      <c r="K38" s="49"/>
      <c r="L38" s="50"/>
      <c r="M38" s="51"/>
      <c r="N38" s="51"/>
      <c r="O38" s="50"/>
    </row>
    <row r="39" spans="1:15" s="1" customFormat="1" ht="18" customHeight="1" x14ac:dyDescent="0.15">
      <c r="A39" s="31"/>
      <c r="B39" s="14">
        <f t="shared" si="4"/>
        <v>0</v>
      </c>
      <c r="C39" s="32"/>
      <c r="D39" s="33"/>
      <c r="E39" s="34"/>
      <c r="F39" s="14">
        <f t="shared" si="5"/>
        <v>0</v>
      </c>
      <c r="G39" s="35"/>
      <c r="H39" s="19"/>
      <c r="I39" s="20"/>
      <c r="J39" s="55"/>
      <c r="K39" s="49"/>
      <c r="L39" s="50"/>
      <c r="M39" s="51"/>
      <c r="N39" s="51"/>
      <c r="O39" s="50"/>
    </row>
    <row r="40" spans="1:15" s="1" customFormat="1" ht="18" customHeight="1" x14ac:dyDescent="0.15">
      <c r="A40" s="31"/>
      <c r="B40" s="14">
        <f t="shared" si="4"/>
        <v>0</v>
      </c>
      <c r="C40" s="32"/>
      <c r="D40" s="33"/>
      <c r="E40" s="34"/>
      <c r="F40" s="14">
        <f t="shared" si="5"/>
        <v>0</v>
      </c>
      <c r="G40" s="35"/>
      <c r="H40" s="19"/>
      <c r="I40" s="20"/>
      <c r="J40" s="55"/>
      <c r="K40" s="49"/>
      <c r="L40" s="50"/>
      <c r="M40" s="51"/>
      <c r="N40" s="51"/>
      <c r="O40" s="50"/>
    </row>
    <row r="41" spans="1:15" s="1" customFormat="1" ht="18" customHeight="1" x14ac:dyDescent="0.15">
      <c r="A41" s="31"/>
      <c r="B41" s="14">
        <f t="shared" si="4"/>
        <v>0</v>
      </c>
      <c r="C41" s="32"/>
      <c r="D41" s="33"/>
      <c r="E41" s="34"/>
      <c r="F41" s="14">
        <f t="shared" si="5"/>
        <v>0</v>
      </c>
      <c r="G41" s="35"/>
      <c r="H41" s="19"/>
      <c r="I41" s="20"/>
      <c r="J41" s="55"/>
      <c r="K41" s="49"/>
      <c r="L41" s="50"/>
      <c r="M41" s="51"/>
      <c r="N41" s="51"/>
      <c r="O41" s="50"/>
    </row>
    <row r="42" spans="1:15" s="1" customFormat="1" ht="18" customHeight="1" x14ac:dyDescent="0.15">
      <c r="A42" s="31"/>
      <c r="B42" s="14">
        <f t="shared" si="4"/>
        <v>0</v>
      </c>
      <c r="C42" s="32"/>
      <c r="D42" s="33"/>
      <c r="E42" s="34"/>
      <c r="F42" s="14">
        <f t="shared" si="5"/>
        <v>0</v>
      </c>
      <c r="G42" s="35"/>
      <c r="H42" s="19"/>
      <c r="I42" s="20"/>
      <c r="J42" s="55"/>
      <c r="K42" s="49"/>
      <c r="L42" s="50"/>
      <c r="M42" s="51"/>
      <c r="N42" s="51"/>
      <c r="O42" s="50"/>
    </row>
    <row r="43" spans="1:15" s="1" customFormat="1" ht="18" customHeight="1" x14ac:dyDescent="0.15">
      <c r="A43" s="31"/>
      <c r="B43" s="14">
        <f t="shared" si="4"/>
        <v>0</v>
      </c>
      <c r="C43" s="32"/>
      <c r="D43" s="33"/>
      <c r="E43" s="34"/>
      <c r="F43" s="14">
        <f t="shared" si="5"/>
        <v>0</v>
      </c>
      <c r="G43" s="35"/>
      <c r="H43" s="19"/>
      <c r="I43" s="20"/>
      <c r="J43" s="55"/>
      <c r="K43" s="49"/>
      <c r="L43" s="50"/>
      <c r="M43" s="51"/>
      <c r="N43" s="51"/>
      <c r="O43" s="50"/>
    </row>
    <row r="44" spans="1:15" s="1" customFormat="1" ht="18" customHeight="1" x14ac:dyDescent="0.15">
      <c r="A44" s="31"/>
      <c r="B44" s="14">
        <f t="shared" si="4"/>
        <v>0</v>
      </c>
      <c r="C44" s="32"/>
      <c r="D44" s="33"/>
      <c r="E44" s="34"/>
      <c r="F44" s="14">
        <f t="shared" si="5"/>
        <v>0</v>
      </c>
      <c r="G44" s="35"/>
      <c r="H44" s="19"/>
      <c r="I44" s="20"/>
      <c r="J44" s="55"/>
      <c r="K44" s="49"/>
      <c r="L44" s="50"/>
      <c r="M44" s="51"/>
      <c r="N44" s="51"/>
      <c r="O44" s="50"/>
    </row>
    <row r="45" spans="1:15" s="1" customFormat="1" ht="18" customHeight="1" x14ac:dyDescent="0.15">
      <c r="A45" s="31"/>
      <c r="B45" s="14">
        <f t="shared" si="4"/>
        <v>0</v>
      </c>
      <c r="C45" s="32"/>
      <c r="D45" s="33"/>
      <c r="E45" s="34"/>
      <c r="F45" s="14">
        <f t="shared" si="5"/>
        <v>0</v>
      </c>
      <c r="G45" s="35"/>
      <c r="H45" s="19"/>
      <c r="I45" s="20">
        <v>42099</v>
      </c>
      <c r="J45" s="55" t="s">
        <v>100</v>
      </c>
      <c r="K45" s="49" t="s">
        <v>99</v>
      </c>
      <c r="L45" s="50"/>
      <c r="M45" s="51"/>
      <c r="N45" s="51"/>
      <c r="O45" s="50"/>
    </row>
    <row r="46" spans="1:15" s="1" customFormat="1" ht="18" customHeight="1" x14ac:dyDescent="0.15">
      <c r="A46" s="31"/>
      <c r="B46" s="14">
        <f t="shared" si="4"/>
        <v>0</v>
      </c>
      <c r="C46" s="32"/>
      <c r="D46" s="33"/>
      <c r="E46" s="34"/>
      <c r="F46" s="14">
        <f t="shared" si="5"/>
        <v>0</v>
      </c>
      <c r="G46" s="35"/>
      <c r="H46" s="19"/>
      <c r="I46" s="20"/>
      <c r="J46" s="55"/>
      <c r="K46" s="49"/>
      <c r="L46" s="50"/>
      <c r="M46" s="51"/>
      <c r="N46" s="51"/>
      <c r="O46" s="50"/>
    </row>
    <row r="47" spans="1:15" s="1" customFormat="1" ht="18" customHeight="1" x14ac:dyDescent="0.15">
      <c r="A47" s="31"/>
      <c r="B47" s="14">
        <f t="shared" si="4"/>
        <v>254196.27</v>
      </c>
      <c r="C47" s="32"/>
      <c r="D47" s="33"/>
      <c r="E47" s="34"/>
      <c r="F47" s="14">
        <f t="shared" si="5"/>
        <v>0</v>
      </c>
      <c r="G47" s="35">
        <f>88000+82000+84196.27</f>
        <v>254196.27</v>
      </c>
      <c r="H47" s="19"/>
      <c r="I47" s="20">
        <f>G47</f>
        <v>254196.27</v>
      </c>
      <c r="J47" s="55" t="s">
        <v>40</v>
      </c>
      <c r="K47" s="49" t="s">
        <v>43</v>
      </c>
      <c r="L47" s="50"/>
      <c r="M47" s="51"/>
      <c r="N47" s="51"/>
      <c r="O47" s="50"/>
    </row>
    <row r="48" spans="1:15" ht="18" customHeight="1" x14ac:dyDescent="0.15">
      <c r="A48" s="26" t="s">
        <v>22</v>
      </c>
      <c r="B48" s="25">
        <f>SUM(B14:B31)</f>
        <v>7829078.5499999998</v>
      </c>
      <c r="C48" s="26"/>
      <c r="D48" s="36"/>
      <c r="E48" s="36"/>
      <c r="F48" s="28">
        <f>SUM(F14:F31)</f>
        <v>0</v>
      </c>
      <c r="G48" s="37">
        <f>SUM(G14:G31)</f>
        <v>7829078.5499999998</v>
      </c>
      <c r="H48" s="38"/>
      <c r="I48" s="27">
        <f>SUM(I14:I47)</f>
        <v>12879813.050000001</v>
      </c>
      <c r="J48" s="56"/>
      <c r="K48" s="36"/>
      <c r="L48" s="29"/>
      <c r="M48" s="42"/>
      <c r="N48" s="42"/>
      <c r="O48" s="29"/>
    </row>
    <row r="49" spans="1:14" ht="18" customHeight="1" x14ac:dyDescent="0.15">
      <c r="A49" s="39" t="s">
        <v>46</v>
      </c>
      <c r="B49" s="40">
        <f>B11-B48</f>
        <v>4510545.7703883499</v>
      </c>
      <c r="C49" s="39"/>
      <c r="D49" s="41"/>
      <c r="E49" s="41"/>
      <c r="F49" s="40"/>
      <c r="G49" s="40">
        <f>G11-G48</f>
        <v>4880734.5</v>
      </c>
      <c r="H49" s="18" t="s">
        <v>47</v>
      </c>
      <c r="I49" s="27">
        <f>I11-I48</f>
        <v>-169999.99999999799</v>
      </c>
      <c r="J49" s="6"/>
      <c r="K49" s="57"/>
      <c r="M49" s="58"/>
      <c r="N49" s="58"/>
    </row>
    <row r="50" spans="1:14" ht="18" customHeight="1" x14ac:dyDescent="0.15">
      <c r="A50" s="2" t="s">
        <v>48</v>
      </c>
      <c r="C50" s="2"/>
    </row>
    <row r="51" spans="1:14" ht="18" customHeight="1" x14ac:dyDescent="0.15">
      <c r="A51" s="18" t="s">
        <v>49</v>
      </c>
      <c r="B51" s="17" t="s">
        <v>50</v>
      </c>
      <c r="C51" s="29"/>
      <c r="D51" s="18" t="s">
        <v>49</v>
      </c>
      <c r="E51" s="16" t="s">
        <v>16</v>
      </c>
      <c r="F51" s="17" t="s">
        <v>50</v>
      </c>
      <c r="K51" s="6">
        <v>8330000</v>
      </c>
    </row>
    <row r="52" spans="1:14" ht="18" customHeight="1" x14ac:dyDescent="0.15">
      <c r="A52" s="29" t="s">
        <v>52</v>
      </c>
      <c r="B52" s="14">
        <f>(B11-B48)*0.25</f>
        <v>1127636.44259709</v>
      </c>
      <c r="C52" s="29"/>
      <c r="D52" s="7" t="s">
        <v>53</v>
      </c>
      <c r="E52" s="42" t="s">
        <v>54</v>
      </c>
      <c r="F52" s="43">
        <f>F11-F48</f>
        <v>0</v>
      </c>
      <c r="K52" s="3">
        <f>K51+I47</f>
        <v>8584196.2699999996</v>
      </c>
    </row>
    <row r="53" spans="1:14" ht="18" customHeight="1" x14ac:dyDescent="0.15">
      <c r="A53" s="29" t="s">
        <v>55</v>
      </c>
      <c r="B53" s="44" t="s">
        <v>56</v>
      </c>
      <c r="C53" s="29"/>
      <c r="D53" s="45" t="s">
        <v>57</v>
      </c>
      <c r="E53" s="11">
        <v>0.05</v>
      </c>
      <c r="F53" s="20">
        <f>F52*E53</f>
        <v>0</v>
      </c>
    </row>
    <row r="54" spans="1:14" ht="18" customHeight="1" x14ac:dyDescent="0.15">
      <c r="A54" s="29" t="s">
        <v>58</v>
      </c>
      <c r="B54" s="44" t="s">
        <v>56</v>
      </c>
      <c r="C54" s="29"/>
      <c r="D54" s="45" t="s">
        <v>59</v>
      </c>
      <c r="E54" s="11">
        <v>0.03</v>
      </c>
      <c r="F54" s="20">
        <f>F52*E54</f>
        <v>0</v>
      </c>
    </row>
    <row r="55" spans="1:14" ht="18" customHeight="1" x14ac:dyDescent="0.15">
      <c r="A55" s="29"/>
      <c r="B55" s="20"/>
      <c r="C55" s="29"/>
      <c r="D55" s="45" t="s">
        <v>60</v>
      </c>
      <c r="E55" s="11">
        <v>0.02</v>
      </c>
      <c r="F55" s="20">
        <f>F52*E55</f>
        <v>0</v>
      </c>
    </row>
    <row r="56" spans="1:14" ht="18" customHeight="1" x14ac:dyDescent="0.15">
      <c r="A56" s="24" t="s">
        <v>61</v>
      </c>
      <c r="B56" s="25">
        <f>SUM(B52:B55)</f>
        <v>1127636.44259709</v>
      </c>
      <c r="C56" s="29"/>
      <c r="D56" s="24" t="s">
        <v>61</v>
      </c>
      <c r="E56" s="24"/>
      <c r="F56" s="28">
        <f>SUM(F52:F55)</f>
        <v>0</v>
      </c>
    </row>
    <row r="57" spans="1:14" ht="18" customHeight="1" x14ac:dyDescent="0.15">
      <c r="C57" s="2"/>
      <c r="D57" s="26" t="s">
        <v>22</v>
      </c>
      <c r="E57" s="26"/>
      <c r="F57" s="27">
        <f>F56</f>
        <v>0</v>
      </c>
    </row>
    <row r="58" spans="1:14" ht="18" customHeight="1" x14ac:dyDescent="0.15">
      <c r="C58" s="2"/>
    </row>
    <row r="59" spans="1:14" ht="18" customHeight="1" x14ac:dyDescent="0.15">
      <c r="C59" s="2"/>
    </row>
    <row r="60" spans="1:14" ht="18" customHeight="1" x14ac:dyDescent="0.15">
      <c r="C60" s="2"/>
    </row>
    <row r="61" spans="1:14" ht="18" customHeight="1" x14ac:dyDescent="0.15">
      <c r="C61" s="2"/>
    </row>
    <row r="62" spans="1:14" x14ac:dyDescent="0.15">
      <c r="C62" s="2"/>
    </row>
    <row r="63" spans="1:14" x14ac:dyDescent="0.15">
      <c r="C63" s="2"/>
    </row>
    <row r="64" spans="1:14" x14ac:dyDescent="0.15">
      <c r="C64" s="2"/>
    </row>
    <row r="65" spans="3:3" x14ac:dyDescent="0.15">
      <c r="C65" s="2"/>
    </row>
    <row r="66" spans="3:3" x14ac:dyDescent="0.15">
      <c r="C66" s="2"/>
    </row>
    <row r="67" spans="3:3" x14ac:dyDescent="0.15">
      <c r="C67" s="2"/>
    </row>
    <row r="68" spans="3:3" x14ac:dyDescent="0.15">
      <c r="C68" s="2"/>
    </row>
    <row r="69" spans="3:3" x14ac:dyDescent="0.15">
      <c r="C69" s="2"/>
    </row>
    <row r="70" spans="3:3" x14ac:dyDescent="0.15">
      <c r="C70" s="2"/>
    </row>
    <row r="71" spans="3:3" x14ac:dyDescent="0.15">
      <c r="C71" s="2"/>
    </row>
    <row r="72" spans="3:3" x14ac:dyDescent="0.15">
      <c r="C72" s="2"/>
    </row>
    <row r="73" spans="3:3" x14ac:dyDescent="0.15">
      <c r="C73" s="2"/>
    </row>
    <row r="74" spans="3:3" x14ac:dyDescent="0.15">
      <c r="C74" s="2"/>
    </row>
    <row r="75" spans="3:3" x14ac:dyDescent="0.15">
      <c r="C75" s="2"/>
    </row>
    <row r="76" spans="3:3" x14ac:dyDescent="0.15">
      <c r="C76" s="2"/>
    </row>
    <row r="77" spans="3:3" x14ac:dyDescent="0.15">
      <c r="C77" s="2"/>
    </row>
  </sheetData>
  <autoFilter ref="A13:O57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622047244094499" right="0.23622047244094499" top="0.31496062992126" bottom="0.15748031496063" header="0.31496062992126" footer="0.31496062992126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增加部分C12813</vt:lpstr>
      <vt:lpstr>新</vt:lpstr>
      <vt:lpstr>供应商支付情况</vt:lpstr>
      <vt:lpstr>旧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2024-09-10T00:42:16Z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