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商城县钵盂山灌河大桥新建工程施工（二次）" sheetId="1" r:id="rId1"/>
    <sheet name="新" sheetId="4" r:id="rId2"/>
    <sheet name="Sheet3" sheetId="2" r:id="rId3"/>
    <sheet name="Sheet2" sheetId="3" r:id="rId4"/>
  </sheets>
  <definedNames>
    <definedName name="_xlnm._FilterDatabase" localSheetId="1" hidden="1">新!$A$18:$Q$65</definedName>
    <definedName name="_xlnm._FilterDatabase" localSheetId="0" hidden="1">'商城县钵盂山灌河大桥新建工程施工（二次）'!$A$18:$Q$114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D3" authorId="0">
      <text>
        <r>
          <rPr>
            <sz val="9"/>
            <rFont val="宋体"/>
            <charset val="134"/>
          </rPr>
          <t>cw09:
变更造价</t>
        </r>
      </text>
    </comment>
    <comment ref="G7" authorId="1">
      <text>
        <r>
          <rPr>
            <sz val="9"/>
            <rFont val="宋体"/>
            <charset val="134"/>
          </rPr>
          <t>cw05:
填写开票数字</t>
        </r>
      </text>
    </comment>
    <comment ref="E19" authorId="1">
      <text>
        <r>
          <rPr>
            <sz val="9"/>
            <rFont val="宋体"/>
            <charset val="134"/>
          </rPr>
          <t>cw05:
填写专票税率</t>
        </r>
      </text>
    </comment>
    <comment ref="G19" authorId="1">
      <text>
        <r>
          <rPr>
            <sz val="9"/>
            <rFont val="宋体"/>
            <charset val="134"/>
          </rPr>
          <t>cw05:
填写成本发票含税金额</t>
        </r>
      </text>
    </comment>
    <comment ref="A10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23" authorId="0">
      <text>
        <r>
          <rPr>
            <sz val="9"/>
            <rFont val="宋体"/>
            <charset val="134"/>
          </rPr>
          <t>cw09:
19.7.2已收款127613.44元（孙会计卡）
19.8.2 已退李想127613.44元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D3" authorId="0">
      <text>
        <r>
          <rPr>
            <sz val="9"/>
            <rFont val="宋体"/>
            <charset val="134"/>
          </rPr>
          <t>cw09:
变更造价</t>
        </r>
      </text>
    </comment>
    <comment ref="G7" authorId="1">
      <text>
        <r>
          <rPr>
            <sz val="9"/>
            <rFont val="宋体"/>
            <charset val="134"/>
          </rPr>
          <t>cw05:
填写开票数字</t>
        </r>
      </text>
    </comment>
    <comment ref="E19" authorId="1">
      <text>
        <r>
          <rPr>
            <sz val="9"/>
            <rFont val="宋体"/>
            <charset val="134"/>
          </rPr>
          <t>cw05:
填写专票税率</t>
        </r>
      </text>
    </comment>
    <comment ref="G19" authorId="1">
      <text>
        <r>
          <rPr>
            <sz val="9"/>
            <rFont val="宋体"/>
            <charset val="134"/>
          </rPr>
          <t>cw05:
填写成本发票含税金额</t>
        </r>
      </text>
    </comment>
    <comment ref="A118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9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33" authorId="0">
      <text>
        <r>
          <rPr>
            <sz val="9"/>
            <rFont val="宋体"/>
            <charset val="134"/>
          </rPr>
          <t>cw09:
19.7.2已收款127613.44元（孙会计卡）
19.8.2 已退李想127613.44元</t>
        </r>
      </text>
    </comment>
  </commentList>
</comments>
</file>

<file path=xl/comments3.xml><?xml version="1.0" encoding="utf-8"?>
<comments xmlns="http://schemas.openxmlformats.org/spreadsheetml/2006/main">
  <authors>
    <author>cw09</author>
  </authors>
  <commentList>
    <comment ref="E5" authorId="0">
      <text>
        <r>
          <rPr>
            <sz val="9"/>
            <rFont val="宋体"/>
            <charset val="134"/>
          </rPr>
          <t>cw09:
2020.1.19    160w
2020.10.26    90w</t>
        </r>
      </text>
    </comment>
  </commentList>
</comments>
</file>

<file path=xl/sharedStrings.xml><?xml version="1.0" encoding="utf-8"?>
<sst xmlns="http://schemas.openxmlformats.org/spreadsheetml/2006/main" count="902" uniqueCount="239">
  <si>
    <t>商城县钵盂山灌河大桥新建工程施工（二次）</t>
  </si>
  <si>
    <t>中标日期</t>
  </si>
  <si>
    <t>中标价</t>
  </si>
  <si>
    <t>负责人</t>
  </si>
  <si>
    <t>孙健</t>
  </si>
  <si>
    <t>建设单位</t>
  </si>
  <si>
    <t>商城县交通运输局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</si>
  <si>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</si>
  <si>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</si>
  <si>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</si>
  <si>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</si>
  <si>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</si>
  <si>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</si>
  <si>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</si>
  <si>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</si>
  <si>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</si>
  <si>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</si>
  <si>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</si>
  <si>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</si>
  <si>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</si>
  <si>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</si>
  <si>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</si>
  <si>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</si>
  <si>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</si>
  <si>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</si>
  <si>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</si>
  <si>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</si>
  <si>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</si>
  <si>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</si>
  <si>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</si>
  <si>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</si>
  <si>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</si>
  <si>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 xml:space="preserve"> </t>
  </si>
  <si>
    <t>合同</t>
  </si>
  <si>
    <t>发货单</t>
  </si>
  <si>
    <t>备注</t>
  </si>
  <si>
    <t>18-2-</t>
  </si>
  <si>
    <t>徽行</t>
  </si>
  <si>
    <t>李想</t>
  </si>
  <si>
    <t>项目周转金</t>
  </si>
  <si>
    <t>魏刚</t>
  </si>
  <si>
    <t>工资</t>
  </si>
  <si>
    <t>项目部垫付工资</t>
  </si>
  <si>
    <t>机械租赁</t>
  </si>
  <si>
    <t>商城县恒鑫商贸有限公司</t>
  </si>
  <si>
    <t>水泥</t>
  </si>
  <si>
    <t>18-9-</t>
  </si>
  <si>
    <t>商城县宏源电力建设有限公司</t>
  </si>
  <si>
    <t>18-11-</t>
  </si>
  <si>
    <t>收到材料款</t>
  </si>
  <si>
    <t>专</t>
  </si>
  <si>
    <t>商城县明鑫钢材有限公司</t>
  </si>
  <si>
    <t>钢材</t>
  </si>
  <si>
    <t>河南四海宏程建筑材料有限公司</t>
  </si>
  <si>
    <t>普代</t>
  </si>
  <si>
    <t>吴泽海</t>
  </si>
  <si>
    <t>机械租赁费</t>
  </si>
  <si>
    <t>刘家刚</t>
  </si>
  <si>
    <t>劳务费</t>
  </si>
  <si>
    <t>18-12-</t>
  </si>
  <si>
    <t>商城县金三角加油站</t>
  </si>
  <si>
    <t>柴油</t>
  </si>
  <si>
    <t>商城县华强商贸有限公司</t>
  </si>
  <si>
    <t>刘心海</t>
  </si>
  <si>
    <t>魏昕茹</t>
  </si>
  <si>
    <t>信阳鹏辉桥梁预制构件有限公司</t>
  </si>
  <si>
    <t>空心板</t>
  </si>
  <si>
    <t>商城县泰贻建筑劳务有限公司</t>
  </si>
  <si>
    <t>钢筋135.068吨</t>
  </si>
  <si>
    <t>空心板28片</t>
  </si>
  <si>
    <t>货单85片</t>
  </si>
  <si>
    <t>徐明洋</t>
  </si>
  <si>
    <t>空心板32片</t>
  </si>
  <si>
    <t>有</t>
  </si>
  <si>
    <t>货单前期有</t>
  </si>
  <si>
    <t>李保全</t>
  </si>
  <si>
    <t>运输费</t>
  </si>
  <si>
    <t>河南新丰路桥工程有限公司</t>
  </si>
  <si>
    <t>石子800立方、沙1250吨</t>
  </si>
  <si>
    <t>2020-072</t>
  </si>
  <si>
    <t>衡水亿贤橡胶制品有限公司</t>
  </si>
  <si>
    <t>橡胶支座</t>
  </si>
  <si>
    <t>桥梁空心板</t>
  </si>
  <si>
    <t>2019-337#</t>
  </si>
  <si>
    <t xml:space="preserve"> 缺货单，货单不够差137W</t>
  </si>
  <si>
    <t>2020-649#   700000元</t>
  </si>
  <si>
    <t>2020-029#  390000元</t>
  </si>
  <si>
    <t>缺租赁清单</t>
  </si>
  <si>
    <t>信阳市淦凯建筑劳务工程有限公司</t>
  </si>
  <si>
    <t>2020-655#  882646.98元</t>
  </si>
  <si>
    <t>冠县新益源交通设施有限公司</t>
  </si>
  <si>
    <t>护栏款</t>
  </si>
  <si>
    <t>2020-768#  181487.6元</t>
  </si>
  <si>
    <t>履约保证金退回</t>
  </si>
  <si>
    <t>退履约保证金</t>
  </si>
  <si>
    <t>已退给合作人魏刚 2021.1.28号</t>
  </si>
  <si>
    <t>普</t>
  </si>
  <si>
    <t>商城县骏良实业有限公司</t>
  </si>
  <si>
    <t>砂石</t>
  </si>
  <si>
    <t>2020-846#  630000元</t>
  </si>
  <si>
    <t>水泥款</t>
  </si>
  <si>
    <t>2020-847# 422000元</t>
  </si>
  <si>
    <t>付款大于开票，少发票</t>
  </si>
  <si>
    <t>劳务</t>
  </si>
  <si>
    <t>劳务合同总金额  1764337.46  2021-064#   60w</t>
  </si>
  <si>
    <t>扣</t>
  </si>
  <si>
    <t>管理费</t>
  </si>
  <si>
    <t>手续费</t>
  </si>
  <si>
    <t>暂扣</t>
  </si>
  <si>
    <t>企税（成本不够）</t>
  </si>
  <si>
    <t>印花税及水利基金（2021.1月开票）</t>
  </si>
  <si>
    <t>退</t>
  </si>
  <si>
    <t>前期暂扣企税（已全部退完）</t>
  </si>
  <si>
    <t>企税</t>
  </si>
  <si>
    <t>印花税及水利基金</t>
  </si>
  <si>
    <t>5次</t>
  </si>
  <si>
    <t>之前暂扣部分企税</t>
  </si>
  <si>
    <t>税金</t>
  </si>
  <si>
    <t>7次</t>
  </si>
  <si>
    <t>6次</t>
  </si>
  <si>
    <t>第5次</t>
  </si>
  <si>
    <t>之前暂扣企税（部分）</t>
  </si>
  <si>
    <t>第四次</t>
  </si>
  <si>
    <t>其他费用</t>
  </si>
  <si>
    <t>预留</t>
  </si>
  <si>
    <t>损失准备金</t>
  </si>
  <si>
    <t>收</t>
  </si>
  <si>
    <t>已打入孙会计卡（19.7.2）</t>
  </si>
  <si>
    <t>增值税及附加</t>
  </si>
  <si>
    <t xml:space="preserve">   </t>
  </si>
  <si>
    <t>损失准备金1%</t>
  </si>
  <si>
    <t>代办费</t>
  </si>
  <si>
    <t>尚需提供成本</t>
  </si>
  <si>
    <t>可支付金额</t>
  </si>
  <si>
    <t>公司代缴税金：</t>
  </si>
  <si>
    <t>税种</t>
  </si>
  <si>
    <t>税额</t>
  </si>
  <si>
    <t>18.2月开票扣税</t>
  </si>
  <si>
    <t>18.11月开票扣税</t>
  </si>
  <si>
    <t>19.1月开票扣税</t>
  </si>
  <si>
    <t>19.7月开票扣税</t>
  </si>
  <si>
    <t>19.11月开票扣税</t>
  </si>
  <si>
    <t>20.1月开票扣税</t>
  </si>
  <si>
    <t>20.10月开票扣税</t>
  </si>
  <si>
    <t>2021.1月开票扣税</t>
  </si>
  <si>
    <t>企业所得税</t>
  </si>
  <si>
    <t>增值税</t>
  </si>
  <si>
    <t>差额</t>
  </si>
  <si>
    <t>印花税</t>
  </si>
  <si>
    <t>已交300</t>
  </si>
  <si>
    <t>城市维护建设税</t>
  </si>
  <si>
    <t>水利基金</t>
  </si>
  <si>
    <t>教育费附加</t>
  </si>
  <si>
    <t>地方教育费附加</t>
  </si>
  <si>
    <t>小计</t>
  </si>
  <si>
    <t>已交</t>
  </si>
  <si>
    <t>开票预缴税金</t>
  </si>
  <si>
    <t>19.7月开票预缴税金</t>
  </si>
  <si>
    <t>可支付</t>
  </si>
  <si>
    <t>未开票</t>
  </si>
  <si>
    <t>欠发票</t>
  </si>
  <si>
    <t>299000缺租赁清单</t>
  </si>
  <si>
    <t>250W缺货单，货单不够差137W</t>
  </si>
  <si>
    <t>项目名称</t>
  </si>
  <si>
    <t>供应商</t>
  </si>
  <si>
    <t>材料内容</t>
  </si>
  <si>
    <t>问题备注</t>
  </si>
  <si>
    <t>2020.1.18</t>
  </si>
  <si>
    <t>汤阴县乡道Y7030伏道-宜沟段公路改建工程施工2标段</t>
  </si>
  <si>
    <t>安阳盛鑫建材有限公司</t>
  </si>
  <si>
    <t>沥青混合料</t>
  </si>
  <si>
    <t>缺货单</t>
  </si>
  <si>
    <t>北部</t>
  </si>
  <si>
    <t>2020.12.04</t>
  </si>
  <si>
    <t>浉河区浉河港至四望山红色旅游公路改建工程项目</t>
  </si>
  <si>
    <t>信阳市农程建筑劳务有限公司</t>
  </si>
  <si>
    <t>混凝土路面</t>
  </si>
  <si>
    <t>税点不对，合同重签</t>
  </si>
  <si>
    <t>2020.1.13</t>
  </si>
  <si>
    <t>陕西省镇坪县大河至华坪三级公路建设工程B段</t>
  </si>
  <si>
    <t>陕西万宏建设有限公司</t>
  </si>
  <si>
    <t>沥青路面工程</t>
  </si>
  <si>
    <t xml:space="preserve">合同原件暂未收到 </t>
  </si>
  <si>
    <t>2020.1.19/2020.10.26</t>
  </si>
  <si>
    <t>2020.10.27</t>
  </si>
  <si>
    <t>2020.9.23</t>
  </si>
  <si>
    <t>亚洲开发银行贷款宁夏六盘山扶贫农村公路发展项目将台-兴平（宁夏西吉县西吉至平峰公路项目）</t>
  </si>
  <si>
    <t xml:space="preserve">宁夏宝庆实业有限公司 </t>
  </si>
  <si>
    <t>柴油费</t>
  </si>
  <si>
    <t>合肥畅宇工程材料有限公司</t>
  </si>
  <si>
    <t>土工格栅</t>
  </si>
  <si>
    <t>2020.9.14</t>
  </si>
  <si>
    <t xml:space="preserve">西吉县万祥水泥制管厂 </t>
  </si>
  <si>
    <t>管涵费</t>
  </si>
  <si>
    <t>2020.12.30</t>
  </si>
  <si>
    <t>安徽雄狮建筑劳务有限公司</t>
  </si>
  <si>
    <t>劳务费/机械租赁</t>
  </si>
  <si>
    <t>劳务开票335w超合同价</t>
  </si>
  <si>
    <t>2020.12.17</t>
  </si>
  <si>
    <t>银川市兴庆区腾跃飞扬仪器经营部</t>
  </si>
  <si>
    <t>测量费</t>
  </si>
  <si>
    <t>合同原件暂未收到</t>
  </si>
  <si>
    <t>2021.1.13</t>
  </si>
  <si>
    <t>西安格拉瑞斯金属制品有限公司</t>
  </si>
  <si>
    <t>钢波纹管</t>
  </si>
  <si>
    <t>缺货单，发票未备注</t>
  </si>
  <si>
    <t>2020.10.14</t>
  </si>
  <si>
    <t>渝北区2019年桥梁安全防护设施提升工程</t>
  </si>
  <si>
    <t>渝北区本源建材经营部</t>
  </si>
  <si>
    <t>石子/河沙/水泥</t>
  </si>
  <si>
    <t>西部</t>
  </si>
  <si>
    <t>2020.5.23</t>
  </si>
  <si>
    <t>云南省曲靖市罗平县板羊公路大中修工程及新师线大中修工程</t>
  </si>
  <si>
    <t>罗平县九龙水泥有限责任公司</t>
  </si>
  <si>
    <t>少货单</t>
  </si>
  <si>
    <t>2020.1.4</t>
  </si>
  <si>
    <t>广安市前锋货运站至枣山操场坝干线公路工程波形梁钢护栏施工</t>
  </si>
  <si>
    <t>三门县雨顺交通设施经营部</t>
  </si>
  <si>
    <t>轮廓标</t>
  </si>
  <si>
    <t>补收据</t>
  </si>
  <si>
    <t>2020.1.10</t>
  </si>
  <si>
    <t>邻水县川邻叉车配件店</t>
  </si>
  <si>
    <t>2020.12.16</t>
  </si>
  <si>
    <t>山东冠县宏发交通设施有限公司</t>
  </si>
  <si>
    <t>护栏板，护栏配件</t>
  </si>
  <si>
    <t xml:space="preserve">缺货单 </t>
  </si>
  <si>
    <t>2020.12.23</t>
  </si>
  <si>
    <t>2020年省级资金补助交通安全工程（S102线,G248线,S993线,S306线）</t>
  </si>
  <si>
    <t>嵩明嵩阳富华机械租赁部</t>
  </si>
  <si>
    <t>旅游专线机械租赁</t>
  </si>
  <si>
    <t>缺机械租赁清单</t>
  </si>
  <si>
    <t>2020.12.29</t>
  </si>
  <si>
    <t>昆明公路局机械化养护和应急中心</t>
  </si>
  <si>
    <t>沥青混混凝土</t>
  </si>
  <si>
    <t>缺合同</t>
  </si>
  <si>
    <t>昆明增荣衡器有限公司</t>
  </si>
  <si>
    <t>螺纹钢等</t>
  </si>
  <si>
    <t>原发票对方已作废，已退给王敏。缺发货单</t>
  </si>
  <si>
    <t>19.6月开票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</si>
</sst>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/m/d;@"/>
    <numFmt numFmtId="179" formatCode="#,##0.00_ "/>
    <numFmt numFmtId="180" formatCode="yyyy&quot;年&quot;m&quot;月&quot;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1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8" fillId="30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62">
    <xf numFmtId="0" fontId="0" fillId="0" borderId="0" xfId="0"/>
    <xf numFmtId="0" fontId="0" fillId="0" borderId="1" xfId="0" applyBorder="1"/>
    <xf numFmtId="177" fontId="1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/>
    <xf numFmtId="0" fontId="6" fillId="0" borderId="1" xfId="0" applyNumberFormat="1" applyFont="1" applyBorder="1" applyAlignment="1">
      <alignment vertical="center"/>
    </xf>
    <xf numFmtId="177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2" xfId="0" applyFont="1" applyBorder="1"/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0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7" fillId="0" borderId="3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4" fontId="9" fillId="0" borderId="0" xfId="0" applyNumberFormat="1" applyFont="1"/>
    <xf numFmtId="179" fontId="2" fillId="0" borderId="1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179" fontId="6" fillId="4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9" fontId="6" fillId="5" borderId="1" xfId="1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9" fontId="6" fillId="5" borderId="1" xfId="11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9" fontId="2" fillId="5" borderId="1" xfId="11" applyNumberFormat="1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9" fontId="7" fillId="5" borderId="1" xfId="11" applyNumberFormat="1" applyFont="1" applyFill="1" applyBorder="1" applyAlignment="1">
      <alignment horizontal="center" vertical="center"/>
    </xf>
    <xf numFmtId="179" fontId="7" fillId="4" borderId="1" xfId="0" applyNumberFormat="1" applyFont="1" applyFill="1" applyBorder="1" applyAlignment="1">
      <alignment vertical="center"/>
    </xf>
    <xf numFmtId="177" fontId="2" fillId="0" borderId="6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78" fontId="2" fillId="6" borderId="1" xfId="0" applyNumberFormat="1" applyFont="1" applyFill="1" applyBorder="1" applyAlignment="1">
      <alignment horizontal="center" vertical="center"/>
    </xf>
    <xf numFmtId="179" fontId="1" fillId="6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179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179" fontId="2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79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 wrapText="1"/>
    </xf>
    <xf numFmtId="178" fontId="2" fillId="0" borderId="7" xfId="0" applyNumberFormat="1" applyFont="1" applyBorder="1" applyAlignment="1">
      <alignment horizontal="right" vertical="center" wrapText="1"/>
    </xf>
    <xf numFmtId="178" fontId="1" fillId="0" borderId="7" xfId="0" applyNumberFormat="1" applyFont="1" applyBorder="1" applyAlignment="1">
      <alignment vertical="center"/>
    </xf>
    <xf numFmtId="177" fontId="1" fillId="7" borderId="1" xfId="0" applyNumberFormat="1" applyFont="1" applyFill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6" fillId="4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6" fillId="3" borderId="1" xfId="0" applyNumberFormat="1" applyFont="1" applyFill="1" applyBorder="1" applyAlignment="1">
      <alignment vertical="center"/>
    </xf>
    <xf numFmtId="177" fontId="2" fillId="4" borderId="1" xfId="0" applyNumberFormat="1" applyFont="1" applyFill="1" applyBorder="1" applyAlignment="1">
      <alignment vertical="center"/>
    </xf>
    <xf numFmtId="177" fontId="7" fillId="4" borderId="1" xfId="0" applyNumberFormat="1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vertical="center"/>
    </xf>
    <xf numFmtId="177" fontId="1" fillId="6" borderId="1" xfId="0" applyNumberFormat="1" applyFont="1" applyFill="1" applyBorder="1" applyAlignment="1">
      <alignment vertical="center"/>
    </xf>
    <xf numFmtId="177" fontId="1" fillId="0" borderId="5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6" borderId="1" xfId="0" applyNumberFormat="1" applyFont="1" applyFill="1" applyBorder="1" applyAlignment="1">
      <alignment vertical="center"/>
    </xf>
    <xf numFmtId="177" fontId="7" fillId="6" borderId="1" xfId="0" applyNumberFormat="1" applyFont="1" applyFill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4"/>
  <sheetViews>
    <sheetView topLeftCell="A49" workbookViewId="0">
      <selection activeCell="A49" sqref="$A1:$XFD1048576"/>
    </sheetView>
  </sheetViews>
  <sheetFormatPr defaultColWidth="9" defaultRowHeight="11.25"/>
  <cols>
    <col min="1" max="1" width="10.75" style="34" customWidth="1"/>
    <col min="2" max="2" width="20" style="35" customWidth="1"/>
    <col min="3" max="3" width="6" style="36" customWidth="1"/>
    <col min="4" max="4" width="13.375" style="36" customWidth="1"/>
    <col min="5" max="5" width="6" style="36" customWidth="1"/>
    <col min="6" max="6" width="13.125" style="35" customWidth="1"/>
    <col min="7" max="7" width="16.75" style="35" customWidth="1"/>
    <col min="8" max="8" width="9.875" style="36" customWidth="1"/>
    <col min="9" max="9" width="21.25" style="35" customWidth="1"/>
    <col min="10" max="10" width="6.125" style="37" customWidth="1"/>
    <col min="11" max="11" width="31.5" style="30" customWidth="1"/>
    <col min="12" max="12" width="12.75" style="30" customWidth="1"/>
    <col min="13" max="13" width="20.75" style="30" customWidth="1"/>
    <col min="14" max="14" width="12.875" style="30" customWidth="1"/>
    <col min="15" max="15" width="17.375" style="30" customWidth="1"/>
    <col min="16" max="16" width="9.625" style="30"/>
    <col min="17" max="16384" width="9" style="30"/>
  </cols>
  <sheetData>
    <row r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ht="18" customHeight="1" spans="1:12">
      <c r="A2" s="40" t="s">
        <v>1</v>
      </c>
      <c r="B2" s="41">
        <v>42887</v>
      </c>
      <c r="C2" s="42" t="s">
        <v>2</v>
      </c>
      <c r="D2" s="42">
        <v>11243891.87</v>
      </c>
      <c r="E2" s="43" t="s">
        <v>3</v>
      </c>
      <c r="F2" s="42" t="s">
        <v>4</v>
      </c>
      <c r="G2" s="44" t="s">
        <v>5</v>
      </c>
      <c r="H2" s="45" t="s">
        <v>6</v>
      </c>
      <c r="I2" s="81"/>
      <c r="J2" s="82"/>
      <c r="K2" s="48"/>
      <c r="L2" s="48"/>
    </row>
    <row r="3" ht="18" customHeight="1" spans="1:12">
      <c r="A3" s="40" t="s">
        <v>7</v>
      </c>
      <c r="B3" s="46"/>
      <c r="C3" s="42" t="s">
        <v>8</v>
      </c>
      <c r="D3" s="47">
        <v>19240000</v>
      </c>
      <c r="H3" s="48"/>
      <c r="I3" s="83"/>
      <c r="J3" s="48"/>
      <c r="K3" s="48"/>
      <c r="L3" s="48"/>
    </row>
    <row r="4" ht="18" customHeight="1" spans="1:12">
      <c r="A4" s="34" t="s">
        <v>9</v>
      </c>
      <c r="H4" s="48"/>
      <c r="I4" s="83"/>
      <c r="J4" s="48"/>
      <c r="K4" s="48"/>
      <c r="L4" s="48"/>
    </row>
    <row r="5" ht="18" customHeight="1" spans="1:10">
      <c r="A5" s="49" t="s">
        <v>10</v>
      </c>
      <c r="B5" s="2" t="s">
        <v>11</v>
      </c>
      <c r="C5" s="49" t="s">
        <v>12</v>
      </c>
      <c r="D5" s="49"/>
      <c r="E5" s="49" t="s">
        <v>13</v>
      </c>
      <c r="F5" s="2"/>
      <c r="G5" s="2" t="s">
        <v>14</v>
      </c>
      <c r="H5" s="50" t="s">
        <v>15</v>
      </c>
      <c r="I5" s="2"/>
      <c r="J5" s="50"/>
    </row>
    <row r="6" ht="18" customHeight="1" spans="1:10">
      <c r="A6" s="49"/>
      <c r="B6" s="2"/>
      <c r="C6" s="49" t="s">
        <v>16</v>
      </c>
      <c r="D6" s="49" t="s">
        <v>17</v>
      </c>
      <c r="E6" s="49" t="s">
        <v>16</v>
      </c>
      <c r="F6" s="2" t="s">
        <v>17</v>
      </c>
      <c r="G6" s="2"/>
      <c r="H6" s="50" t="s">
        <v>18</v>
      </c>
      <c r="I6" s="2" t="s">
        <v>19</v>
      </c>
      <c r="J6" s="50" t="s">
        <v>20</v>
      </c>
    </row>
    <row r="7" ht="18" customHeight="1" spans="1:10">
      <c r="A7" s="51">
        <v>43133</v>
      </c>
      <c r="B7" s="4">
        <f t="shared" ref="B7:B14" si="0">G7/(1+C7+E7)</f>
        <v>900900.900900901</v>
      </c>
      <c r="C7" s="52">
        <v>0.02</v>
      </c>
      <c r="D7" s="148">
        <f t="shared" ref="D7:D14" si="1">G7/(1+E7+C7)*C7</f>
        <v>18018.018018018</v>
      </c>
      <c r="E7" s="52">
        <v>0.09</v>
      </c>
      <c r="F7" s="4">
        <f t="shared" ref="F7:F14" si="2">G7/(1+C7+E7)*E7</f>
        <v>81081.0810810811</v>
      </c>
      <c r="G7" s="149">
        <v>1000000</v>
      </c>
      <c r="H7" s="51">
        <v>43142</v>
      </c>
      <c r="I7" s="4">
        <v>1000000</v>
      </c>
      <c r="J7" s="84" t="s">
        <v>21</v>
      </c>
    </row>
    <row r="8" ht="18" customHeight="1" spans="1:10">
      <c r="A8" s="51">
        <v>43405</v>
      </c>
      <c r="B8" s="4">
        <f t="shared" si="0"/>
        <v>909090.909090909</v>
      </c>
      <c r="C8" s="52">
        <v>0.02</v>
      </c>
      <c r="D8" s="148">
        <f t="shared" si="1"/>
        <v>18181.8181818182</v>
      </c>
      <c r="E8" s="52">
        <v>0.08</v>
      </c>
      <c r="F8" s="4">
        <f t="shared" si="2"/>
        <v>72727.2727272727</v>
      </c>
      <c r="G8" s="149">
        <v>1000000</v>
      </c>
      <c r="H8" s="51">
        <v>43440</v>
      </c>
      <c r="I8" s="4">
        <v>1000000</v>
      </c>
      <c r="J8" s="84" t="s">
        <v>21</v>
      </c>
    </row>
    <row r="9" ht="18" customHeight="1" spans="1:10">
      <c r="A9" s="51">
        <v>43486</v>
      </c>
      <c r="B9" s="4">
        <f t="shared" si="0"/>
        <v>1881818.18181818</v>
      </c>
      <c r="C9" s="52">
        <v>0.02</v>
      </c>
      <c r="D9" s="148">
        <f t="shared" si="1"/>
        <v>37636.3636363636</v>
      </c>
      <c r="E9" s="52">
        <v>0.08</v>
      </c>
      <c r="F9" s="4">
        <f t="shared" si="2"/>
        <v>150545.454545455</v>
      </c>
      <c r="G9" s="149">
        <v>2070000</v>
      </c>
      <c r="H9" s="51">
        <v>43495</v>
      </c>
      <c r="I9" s="4">
        <v>2070000</v>
      </c>
      <c r="J9" s="84" t="s">
        <v>21</v>
      </c>
    </row>
    <row r="10" ht="18" customHeight="1" spans="1:10">
      <c r="A10" s="51">
        <v>43647</v>
      </c>
      <c r="B10" s="4">
        <f t="shared" si="0"/>
        <v>1834862.3853211</v>
      </c>
      <c r="C10" s="52">
        <v>0.02</v>
      </c>
      <c r="D10" s="148">
        <f t="shared" si="1"/>
        <v>36697.247706422</v>
      </c>
      <c r="E10" s="52">
        <v>0.07</v>
      </c>
      <c r="F10" s="4">
        <f t="shared" si="2"/>
        <v>128440.366972477</v>
      </c>
      <c r="G10" s="149">
        <v>2000000</v>
      </c>
      <c r="H10" s="51">
        <v>43664</v>
      </c>
      <c r="I10" s="4">
        <v>2000000</v>
      </c>
      <c r="J10" s="84" t="s">
        <v>21</v>
      </c>
    </row>
    <row r="11" ht="18" customHeight="1" spans="1:10">
      <c r="A11" s="51">
        <v>43784</v>
      </c>
      <c r="B11" s="4">
        <f t="shared" si="0"/>
        <v>2752293.57798165</v>
      </c>
      <c r="C11" s="55">
        <v>0.02</v>
      </c>
      <c r="D11" s="148">
        <f t="shared" si="1"/>
        <v>55045.871559633</v>
      </c>
      <c r="E11" s="55">
        <v>0.07</v>
      </c>
      <c r="F11" s="4">
        <f t="shared" si="2"/>
        <v>192660.550458716</v>
      </c>
      <c r="G11" s="149">
        <v>3000000</v>
      </c>
      <c r="H11" s="51">
        <v>43791</v>
      </c>
      <c r="I11" s="4">
        <v>3000000</v>
      </c>
      <c r="J11" s="84" t="s">
        <v>21</v>
      </c>
    </row>
    <row r="12" ht="18" customHeight="1" spans="1:10">
      <c r="A12" s="51">
        <v>43837</v>
      </c>
      <c r="B12" s="4">
        <f t="shared" si="0"/>
        <v>1834862.3853211</v>
      </c>
      <c r="C12" s="55">
        <v>0.02</v>
      </c>
      <c r="D12" s="148">
        <f t="shared" si="1"/>
        <v>36697.247706422</v>
      </c>
      <c r="E12" s="55">
        <v>0.07</v>
      </c>
      <c r="F12" s="4">
        <f t="shared" si="2"/>
        <v>128440.366972477</v>
      </c>
      <c r="G12" s="149">
        <v>2000000</v>
      </c>
      <c r="H12" s="51">
        <v>43845</v>
      </c>
      <c r="I12" s="4">
        <v>1596000</v>
      </c>
      <c r="J12" s="84" t="s">
        <v>21</v>
      </c>
    </row>
    <row r="13" ht="18" customHeight="1" spans="1:10">
      <c r="A13" s="51">
        <v>44114</v>
      </c>
      <c r="B13" s="4">
        <f t="shared" si="0"/>
        <v>2752293.57798165</v>
      </c>
      <c r="C13" s="55">
        <v>0.02</v>
      </c>
      <c r="D13" s="148">
        <f t="shared" si="1"/>
        <v>55045.871559633</v>
      </c>
      <c r="E13" s="55">
        <v>0.07</v>
      </c>
      <c r="F13" s="4">
        <f t="shared" si="2"/>
        <v>192660.550458716</v>
      </c>
      <c r="G13" s="149">
        <v>3000000</v>
      </c>
      <c r="H13" s="51">
        <v>43845</v>
      </c>
      <c r="I13" s="4">
        <v>404000</v>
      </c>
      <c r="J13" s="84" t="s">
        <v>21</v>
      </c>
    </row>
    <row r="14" ht="18" customHeight="1" spans="1:10">
      <c r="A14" s="51">
        <v>44221</v>
      </c>
      <c r="B14" s="4">
        <f t="shared" si="0"/>
        <v>1834862.3853211</v>
      </c>
      <c r="C14" s="55">
        <v>0.02</v>
      </c>
      <c r="D14" s="148">
        <f t="shared" si="1"/>
        <v>36697.247706422</v>
      </c>
      <c r="E14" s="55">
        <v>0.07</v>
      </c>
      <c r="F14" s="4">
        <f t="shared" si="2"/>
        <v>128440.366972477</v>
      </c>
      <c r="G14" s="149">
        <v>2000000</v>
      </c>
      <c r="H14" s="51">
        <v>44119</v>
      </c>
      <c r="I14" s="4">
        <v>3000000</v>
      </c>
      <c r="J14" s="84" t="s">
        <v>21</v>
      </c>
    </row>
    <row r="15" ht="18" customHeight="1" spans="1:10">
      <c r="A15" s="51"/>
      <c r="B15" s="4"/>
      <c r="C15" s="55"/>
      <c r="D15" s="148"/>
      <c r="E15" s="55"/>
      <c r="F15" s="4"/>
      <c r="G15" s="149"/>
      <c r="H15" s="51">
        <v>44228</v>
      </c>
      <c r="I15" s="4">
        <v>2000000</v>
      </c>
      <c r="J15" s="84" t="s">
        <v>21</v>
      </c>
    </row>
    <row r="16" ht="18" customHeight="1" spans="1:10">
      <c r="A16" s="56" t="s">
        <v>22</v>
      </c>
      <c r="B16" s="150">
        <f t="shared" ref="B16:G16" si="3">SUM(B7:B15)</f>
        <v>14700984.3037366</v>
      </c>
      <c r="C16" s="57"/>
      <c r="D16" s="150">
        <f t="shared" si="3"/>
        <v>294019.686074732</v>
      </c>
      <c r="E16" s="57"/>
      <c r="F16" s="150">
        <f t="shared" si="3"/>
        <v>1074996.01018867</v>
      </c>
      <c r="G16" s="150">
        <f t="shared" si="3"/>
        <v>16070000</v>
      </c>
      <c r="H16" s="58"/>
      <c r="I16" s="150">
        <f>SUM(I7:I15)</f>
        <v>16070000</v>
      </c>
      <c r="J16" s="84"/>
    </row>
    <row r="17" ht="18" customHeight="1" spans="1:12">
      <c r="A17" s="34" t="s">
        <v>23</v>
      </c>
      <c r="J17" s="85"/>
      <c r="K17" s="36"/>
      <c r="L17" s="86"/>
    </row>
    <row r="18" ht="18" customHeight="1" spans="1:15">
      <c r="A18" s="59" t="s">
        <v>24</v>
      </c>
      <c r="B18" s="2" t="s">
        <v>25</v>
      </c>
      <c r="C18" s="49" t="s">
        <v>26</v>
      </c>
      <c r="D18" s="49" t="s">
        <v>27</v>
      </c>
      <c r="E18" s="49" t="s">
        <v>16</v>
      </c>
      <c r="F18" s="2" t="s">
        <v>28</v>
      </c>
      <c r="G18" s="2" t="s">
        <v>14</v>
      </c>
      <c r="H18" s="49" t="s">
        <v>29</v>
      </c>
      <c r="I18" s="2" t="s">
        <v>30</v>
      </c>
      <c r="J18" s="49" t="s">
        <v>20</v>
      </c>
      <c r="K18" s="87" t="s">
        <v>31</v>
      </c>
      <c r="L18" s="50" t="s">
        <v>32</v>
      </c>
      <c r="M18" s="50" t="s">
        <v>33</v>
      </c>
      <c r="N18" s="50" t="s">
        <v>34</v>
      </c>
      <c r="O18" s="50" t="s">
        <v>35</v>
      </c>
    </row>
    <row r="19" s="31" customFormat="1" ht="18" customHeight="1" spans="1:15">
      <c r="A19" s="60"/>
      <c r="B19" s="46">
        <f>ROUND(G19/(1+E19),2)</f>
        <v>0</v>
      </c>
      <c r="C19" s="62"/>
      <c r="D19" s="63"/>
      <c r="E19" s="64"/>
      <c r="F19" s="46">
        <f>ROUND(G19/(1+E19)*E19,2)</f>
        <v>0</v>
      </c>
      <c r="G19" s="149"/>
      <c r="H19" s="51" t="s">
        <v>36</v>
      </c>
      <c r="I19" s="4">
        <v>470953</v>
      </c>
      <c r="J19" s="84" t="s">
        <v>37</v>
      </c>
      <c r="K19" s="13" t="s">
        <v>38</v>
      </c>
      <c r="L19" s="22"/>
      <c r="M19" s="88"/>
      <c r="N19" s="88"/>
      <c r="O19" s="22" t="s">
        <v>39</v>
      </c>
    </row>
    <row r="20" s="31" customFormat="1" ht="18" customHeight="1" spans="1:15">
      <c r="A20" s="60">
        <v>43149</v>
      </c>
      <c r="B20" s="46">
        <f t="shared" ref="B20:B60" si="4">ROUND(G20/(1+E20),2)</f>
        <v>218000</v>
      </c>
      <c r="C20" s="62"/>
      <c r="D20" s="63"/>
      <c r="E20" s="64"/>
      <c r="F20" s="46">
        <f t="shared" ref="F20:F60" si="5">ROUND(G20/(1+E20)*E20,2)</f>
        <v>0</v>
      </c>
      <c r="G20" s="149">
        <v>218000</v>
      </c>
      <c r="H20" s="51" t="s">
        <v>36</v>
      </c>
      <c r="I20" s="4">
        <v>218000</v>
      </c>
      <c r="J20" s="84" t="s">
        <v>37</v>
      </c>
      <c r="K20" s="13" t="s">
        <v>40</v>
      </c>
      <c r="L20" s="22" t="s">
        <v>41</v>
      </c>
      <c r="M20" s="88"/>
      <c r="N20" s="88"/>
      <c r="O20" s="22" t="s">
        <v>42</v>
      </c>
    </row>
    <row r="21" s="31" customFormat="1" ht="18" customHeight="1" spans="1:15">
      <c r="A21" s="60">
        <v>43149</v>
      </c>
      <c r="B21" s="46">
        <f t="shared" si="4"/>
        <v>283900</v>
      </c>
      <c r="C21" s="62"/>
      <c r="D21" s="63"/>
      <c r="E21" s="64"/>
      <c r="F21" s="46">
        <f t="shared" si="5"/>
        <v>0</v>
      </c>
      <c r="G21" s="149">
        <v>283900</v>
      </c>
      <c r="H21" s="51" t="s">
        <v>36</v>
      </c>
      <c r="I21" s="4">
        <v>283900</v>
      </c>
      <c r="J21" s="84" t="s">
        <v>37</v>
      </c>
      <c r="K21" s="13" t="s">
        <v>40</v>
      </c>
      <c r="L21" s="22" t="s">
        <v>43</v>
      </c>
      <c r="M21" s="88"/>
      <c r="N21" s="88"/>
      <c r="O21" s="22"/>
    </row>
    <row r="22" s="31" customFormat="1" ht="18" customHeight="1" spans="1:15">
      <c r="A22" s="60">
        <v>43149</v>
      </c>
      <c r="B22" s="46">
        <f t="shared" si="4"/>
        <v>444560.09</v>
      </c>
      <c r="C22" s="62"/>
      <c r="D22" s="63"/>
      <c r="E22" s="64">
        <v>0.17</v>
      </c>
      <c r="F22" s="46">
        <f t="shared" si="5"/>
        <v>75575.21</v>
      </c>
      <c r="G22" s="149">
        <v>520135.3</v>
      </c>
      <c r="H22" s="51" t="s">
        <v>36</v>
      </c>
      <c r="I22" s="4">
        <v>520000</v>
      </c>
      <c r="J22" s="84" t="s">
        <v>21</v>
      </c>
      <c r="K22" s="13" t="s">
        <v>44</v>
      </c>
      <c r="L22" s="22" t="s">
        <v>45</v>
      </c>
      <c r="M22" s="88"/>
      <c r="N22" s="88"/>
      <c r="O22" s="22"/>
    </row>
    <row r="23" s="31" customFormat="1" ht="18" customHeight="1" spans="1:15">
      <c r="A23" s="60"/>
      <c r="B23" s="46">
        <f t="shared" si="4"/>
        <v>0</v>
      </c>
      <c r="C23" s="62"/>
      <c r="D23" s="63"/>
      <c r="E23" s="64"/>
      <c r="F23" s="46">
        <f t="shared" si="5"/>
        <v>0</v>
      </c>
      <c r="G23" s="149"/>
      <c r="H23" s="51" t="s">
        <v>36</v>
      </c>
      <c r="I23" s="4">
        <v>-520000</v>
      </c>
      <c r="J23" s="84" t="s">
        <v>37</v>
      </c>
      <c r="K23" s="13" t="s">
        <v>38</v>
      </c>
      <c r="L23" s="22"/>
      <c r="M23" s="88"/>
      <c r="N23" s="88"/>
      <c r="O23" s="22"/>
    </row>
    <row r="24" s="31" customFormat="1" ht="18" customHeight="1" spans="1:15">
      <c r="A24" s="60"/>
      <c r="B24" s="46">
        <f t="shared" si="4"/>
        <v>0</v>
      </c>
      <c r="C24" s="62"/>
      <c r="D24" s="63"/>
      <c r="E24" s="64"/>
      <c r="F24" s="46">
        <f t="shared" si="5"/>
        <v>0</v>
      </c>
      <c r="G24" s="149"/>
      <c r="H24" s="51" t="s">
        <v>46</v>
      </c>
      <c r="I24" s="4">
        <v>-110000</v>
      </c>
      <c r="J24" s="84" t="s">
        <v>37</v>
      </c>
      <c r="K24" s="13" t="s">
        <v>38</v>
      </c>
      <c r="L24" s="22"/>
      <c r="M24" s="88"/>
      <c r="N24" s="88"/>
      <c r="O24" s="22"/>
    </row>
    <row r="25" s="31" customFormat="1" ht="18" customHeight="1" spans="1:15">
      <c r="A25" s="60"/>
      <c r="B25" s="46">
        <f t="shared" si="4"/>
        <v>0</v>
      </c>
      <c r="C25" s="62"/>
      <c r="D25" s="63"/>
      <c r="E25" s="64"/>
      <c r="F25" s="46">
        <f t="shared" si="5"/>
        <v>0</v>
      </c>
      <c r="G25" s="149"/>
      <c r="H25" s="51" t="s">
        <v>46</v>
      </c>
      <c r="I25" s="4">
        <v>110000</v>
      </c>
      <c r="J25" s="84" t="s">
        <v>21</v>
      </c>
      <c r="K25" s="13" t="s">
        <v>47</v>
      </c>
      <c r="L25" s="22"/>
      <c r="M25" s="88"/>
      <c r="N25" s="88"/>
      <c r="O25" s="22"/>
    </row>
    <row r="26" s="31" customFormat="1" ht="18" customHeight="1" spans="1:15">
      <c r="A26" s="60"/>
      <c r="B26" s="46">
        <f t="shared" si="4"/>
        <v>0</v>
      </c>
      <c r="C26" s="62"/>
      <c r="D26" s="63"/>
      <c r="E26" s="64"/>
      <c r="F26" s="46">
        <f t="shared" si="5"/>
        <v>0</v>
      </c>
      <c r="G26" s="149"/>
      <c r="H26" s="51" t="s">
        <v>48</v>
      </c>
      <c r="I26" s="4">
        <v>-516131.79</v>
      </c>
      <c r="J26" s="84" t="s">
        <v>37</v>
      </c>
      <c r="K26" s="13" t="s">
        <v>38</v>
      </c>
      <c r="L26" s="22"/>
      <c r="M26" s="88"/>
      <c r="N26" s="88"/>
      <c r="O26" s="22" t="s">
        <v>49</v>
      </c>
    </row>
    <row r="27" s="32" customFormat="1" ht="18" customHeight="1" spans="1:15">
      <c r="A27" s="65">
        <v>43405</v>
      </c>
      <c r="B27" s="151">
        <f t="shared" si="4"/>
        <v>444941.2</v>
      </c>
      <c r="C27" s="67"/>
      <c r="D27" s="68" t="s">
        <v>50</v>
      </c>
      <c r="E27" s="64">
        <v>0.16</v>
      </c>
      <c r="F27" s="151">
        <f t="shared" si="5"/>
        <v>71190.59</v>
      </c>
      <c r="G27" s="149">
        <v>516131.79</v>
      </c>
      <c r="H27" s="69" t="s">
        <v>48</v>
      </c>
      <c r="I27" s="154">
        <v>516131.79</v>
      </c>
      <c r="J27" s="90" t="s">
        <v>21</v>
      </c>
      <c r="K27" s="91" t="s">
        <v>51</v>
      </c>
      <c r="L27" s="92" t="s">
        <v>52</v>
      </c>
      <c r="M27" s="93"/>
      <c r="N27" s="93"/>
      <c r="O27" s="92"/>
    </row>
    <row r="28" s="31" customFormat="1" ht="18" customHeight="1" spans="1:15">
      <c r="A28" s="60">
        <v>43405</v>
      </c>
      <c r="B28" s="46">
        <f t="shared" si="4"/>
        <v>172413.79</v>
      </c>
      <c r="C28" s="62"/>
      <c r="D28" s="63" t="s">
        <v>50</v>
      </c>
      <c r="E28" s="64">
        <v>0.16</v>
      </c>
      <c r="F28" s="46">
        <f t="shared" si="5"/>
        <v>27586.21</v>
      </c>
      <c r="G28" s="149">
        <v>200000</v>
      </c>
      <c r="H28" s="51">
        <v>43444</v>
      </c>
      <c r="I28" s="4">
        <v>200000</v>
      </c>
      <c r="J28" s="84" t="s">
        <v>21</v>
      </c>
      <c r="K28" s="13" t="s">
        <v>53</v>
      </c>
      <c r="L28" s="22" t="s">
        <v>45</v>
      </c>
      <c r="M28" s="88"/>
      <c r="N28" s="88"/>
      <c r="O28" s="22"/>
    </row>
    <row r="29" s="31" customFormat="1" ht="18" customHeight="1" spans="1:15">
      <c r="A29" s="60">
        <v>43405</v>
      </c>
      <c r="B29" s="46">
        <f t="shared" si="4"/>
        <v>223200</v>
      </c>
      <c r="C29" s="62"/>
      <c r="D29" s="63" t="s">
        <v>54</v>
      </c>
      <c r="E29" s="64"/>
      <c r="F29" s="46">
        <f t="shared" si="5"/>
        <v>0</v>
      </c>
      <c r="G29" s="149">
        <v>223200</v>
      </c>
      <c r="H29" s="51">
        <v>43444</v>
      </c>
      <c r="I29" s="4">
        <v>223200</v>
      </c>
      <c r="J29" s="84" t="s">
        <v>37</v>
      </c>
      <c r="K29" s="13" t="s">
        <v>55</v>
      </c>
      <c r="L29" s="22" t="s">
        <v>56</v>
      </c>
      <c r="M29" s="88"/>
      <c r="N29" s="88"/>
      <c r="O29" s="22"/>
    </row>
    <row r="30" s="31" customFormat="1" ht="18" customHeight="1" spans="1:15">
      <c r="A30" s="60">
        <v>43405</v>
      </c>
      <c r="B30" s="46">
        <f t="shared" si="4"/>
        <v>176800</v>
      </c>
      <c r="C30" s="62"/>
      <c r="D30" s="63" t="s">
        <v>54</v>
      </c>
      <c r="E30" s="64"/>
      <c r="F30" s="46">
        <f t="shared" si="5"/>
        <v>0</v>
      </c>
      <c r="G30" s="149">
        <v>176800</v>
      </c>
      <c r="H30" s="51">
        <v>43444</v>
      </c>
      <c r="I30" s="4">
        <v>176800</v>
      </c>
      <c r="J30" s="84" t="s">
        <v>37</v>
      </c>
      <c r="K30" s="13" t="s">
        <v>57</v>
      </c>
      <c r="L30" s="22" t="s">
        <v>58</v>
      </c>
      <c r="M30" s="88"/>
      <c r="N30" s="88"/>
      <c r="O30" s="22"/>
    </row>
    <row r="31" s="31" customFormat="1" ht="18" customHeight="1" spans="1:15">
      <c r="A31" s="60"/>
      <c r="B31" s="46">
        <f t="shared" si="4"/>
        <v>0</v>
      </c>
      <c r="C31" s="62"/>
      <c r="D31" s="63"/>
      <c r="E31" s="64"/>
      <c r="F31" s="46">
        <f t="shared" si="5"/>
        <v>0</v>
      </c>
      <c r="G31" s="149"/>
      <c r="H31" s="51" t="s">
        <v>59</v>
      </c>
      <c r="I31" s="4">
        <v>368654</v>
      </c>
      <c r="J31" s="84" t="s">
        <v>37</v>
      </c>
      <c r="K31" s="13" t="s">
        <v>38</v>
      </c>
      <c r="L31" s="22"/>
      <c r="M31" s="88"/>
      <c r="N31" s="88"/>
      <c r="O31" s="22"/>
    </row>
    <row r="32" s="31" customFormat="1" ht="18" customHeight="1" spans="1:15">
      <c r="A32" s="60">
        <v>43484</v>
      </c>
      <c r="B32" s="46">
        <f t="shared" si="4"/>
        <v>59051.72</v>
      </c>
      <c r="C32" s="62"/>
      <c r="D32" s="63" t="s">
        <v>50</v>
      </c>
      <c r="E32" s="64">
        <v>0.16</v>
      </c>
      <c r="F32" s="46">
        <f t="shared" si="5"/>
        <v>9448.28</v>
      </c>
      <c r="G32" s="149">
        <v>68500</v>
      </c>
      <c r="H32" s="51">
        <v>43490</v>
      </c>
      <c r="I32" s="4">
        <v>68500</v>
      </c>
      <c r="J32" s="84" t="s">
        <v>21</v>
      </c>
      <c r="K32" s="94" t="s">
        <v>60</v>
      </c>
      <c r="L32" s="94" t="s">
        <v>61</v>
      </c>
      <c r="M32" s="88"/>
      <c r="N32" s="88"/>
      <c r="O32" s="22"/>
    </row>
    <row r="33" s="31" customFormat="1" ht="18" customHeight="1" spans="1:15">
      <c r="A33" s="60"/>
      <c r="B33" s="46">
        <f t="shared" si="4"/>
        <v>0</v>
      </c>
      <c r="C33" s="62"/>
      <c r="D33" s="63"/>
      <c r="E33" s="64"/>
      <c r="F33" s="46">
        <f t="shared" si="5"/>
        <v>0</v>
      </c>
      <c r="G33" s="149"/>
      <c r="H33" s="51">
        <v>43490</v>
      </c>
      <c r="I33" s="4">
        <v>-68500</v>
      </c>
      <c r="J33" s="84" t="s">
        <v>37</v>
      </c>
      <c r="K33" s="13" t="s">
        <v>38</v>
      </c>
      <c r="L33" s="22"/>
      <c r="M33" s="88"/>
      <c r="N33" s="88"/>
      <c r="O33" s="22"/>
    </row>
    <row r="34" s="31" customFormat="1" ht="18" customHeight="1" spans="1:15">
      <c r="A34" s="60">
        <v>43484</v>
      </c>
      <c r="B34" s="46">
        <f t="shared" si="4"/>
        <v>171551.72</v>
      </c>
      <c r="C34" s="62"/>
      <c r="D34" s="63" t="s">
        <v>50</v>
      </c>
      <c r="E34" s="64">
        <v>0.16</v>
      </c>
      <c r="F34" s="46">
        <f t="shared" si="5"/>
        <v>27448.28</v>
      </c>
      <c r="G34" s="149">
        <f>99500*2</f>
        <v>199000</v>
      </c>
      <c r="H34" s="51">
        <v>43496</v>
      </c>
      <c r="I34" s="4">
        <v>199000</v>
      </c>
      <c r="J34" s="95" t="s">
        <v>21</v>
      </c>
      <c r="K34" s="96" t="s">
        <v>53</v>
      </c>
      <c r="L34" s="58" t="s">
        <v>45</v>
      </c>
      <c r="M34" s="97"/>
      <c r="N34" s="97"/>
      <c r="O34" s="22"/>
    </row>
    <row r="35" s="32" customFormat="1" ht="18" customHeight="1" spans="1:15">
      <c r="A35" s="65">
        <v>43466</v>
      </c>
      <c r="B35" s="151">
        <f t="shared" si="4"/>
        <v>448016.84</v>
      </c>
      <c r="C35" s="67"/>
      <c r="D35" s="68" t="s">
        <v>50</v>
      </c>
      <c r="E35" s="64">
        <v>0.16</v>
      </c>
      <c r="F35" s="151">
        <f t="shared" si="5"/>
        <v>71682.69</v>
      </c>
      <c r="G35" s="149">
        <v>519699.53</v>
      </c>
      <c r="H35" s="69">
        <v>43496</v>
      </c>
      <c r="I35" s="154">
        <v>519699.53</v>
      </c>
      <c r="J35" s="90" t="s">
        <v>21</v>
      </c>
      <c r="K35" s="98" t="s">
        <v>51</v>
      </c>
      <c r="L35" s="99" t="s">
        <v>52</v>
      </c>
      <c r="M35" s="100"/>
      <c r="N35" s="100"/>
      <c r="O35" s="92"/>
    </row>
    <row r="36" s="31" customFormat="1" ht="18" customHeight="1" spans="1:15">
      <c r="A36" s="60">
        <v>43466</v>
      </c>
      <c r="B36" s="46">
        <f t="shared" si="4"/>
        <v>177155.17</v>
      </c>
      <c r="C36" s="62"/>
      <c r="D36" s="63" t="s">
        <v>50</v>
      </c>
      <c r="E36" s="64">
        <v>0.16</v>
      </c>
      <c r="F36" s="46">
        <f t="shared" si="5"/>
        <v>28344.83</v>
      </c>
      <c r="G36" s="149">
        <f>96300+109200</f>
        <v>205500</v>
      </c>
      <c r="H36" s="51">
        <v>43496</v>
      </c>
      <c r="I36" s="4">
        <v>205500</v>
      </c>
      <c r="J36" s="84" t="s">
        <v>21</v>
      </c>
      <c r="K36" s="96" t="s">
        <v>62</v>
      </c>
      <c r="L36" s="58" t="s">
        <v>45</v>
      </c>
      <c r="M36" s="97"/>
      <c r="N36" s="97"/>
      <c r="O36" s="22"/>
    </row>
    <row r="37" s="31" customFormat="1" ht="18" customHeight="1" spans="1:15">
      <c r="A37" s="60">
        <v>43466</v>
      </c>
      <c r="B37" s="46">
        <f t="shared" si="4"/>
        <v>380000</v>
      </c>
      <c r="C37" s="62"/>
      <c r="D37" s="63" t="s">
        <v>54</v>
      </c>
      <c r="E37" s="64"/>
      <c r="F37" s="46">
        <f t="shared" si="5"/>
        <v>0</v>
      </c>
      <c r="G37" s="149">
        <v>380000</v>
      </c>
      <c r="H37" s="51">
        <v>43497</v>
      </c>
      <c r="I37" s="4">
        <v>380000</v>
      </c>
      <c r="J37" s="84" t="s">
        <v>37</v>
      </c>
      <c r="K37" s="96" t="s">
        <v>63</v>
      </c>
      <c r="L37" s="58" t="s">
        <v>58</v>
      </c>
      <c r="M37" s="84"/>
      <c r="N37" s="97"/>
      <c r="O37" s="22"/>
    </row>
    <row r="38" s="31" customFormat="1" ht="18" customHeight="1" spans="1:15">
      <c r="A38" s="60">
        <v>43466</v>
      </c>
      <c r="B38" s="46">
        <f t="shared" si="4"/>
        <v>520000</v>
      </c>
      <c r="C38" s="62"/>
      <c r="D38" s="63" t="s">
        <v>54</v>
      </c>
      <c r="E38" s="64"/>
      <c r="F38" s="46">
        <f t="shared" si="5"/>
        <v>0</v>
      </c>
      <c r="G38" s="149">
        <v>520000</v>
      </c>
      <c r="H38" s="51">
        <v>43497</v>
      </c>
      <c r="I38" s="4">
        <v>520000</v>
      </c>
      <c r="J38" s="84" t="s">
        <v>37</v>
      </c>
      <c r="K38" s="96" t="s">
        <v>64</v>
      </c>
      <c r="L38" s="58" t="s">
        <v>43</v>
      </c>
      <c r="M38" s="84"/>
      <c r="N38" s="88"/>
      <c r="O38" s="22"/>
    </row>
    <row r="39" s="31" customFormat="1" ht="18" customHeight="1" spans="1:15">
      <c r="A39" s="60"/>
      <c r="B39" s="46">
        <f t="shared" si="4"/>
        <v>0</v>
      </c>
      <c r="C39" s="62"/>
      <c r="D39" s="63"/>
      <c r="E39" s="64"/>
      <c r="F39" s="46">
        <f t="shared" si="5"/>
        <v>0</v>
      </c>
      <c r="G39" s="149"/>
      <c r="H39" s="51">
        <v>43497</v>
      </c>
      <c r="I39" s="4">
        <v>181949.47</v>
      </c>
      <c r="J39" s="84" t="s">
        <v>37</v>
      </c>
      <c r="K39" s="13" t="s">
        <v>38</v>
      </c>
      <c r="L39" s="58"/>
      <c r="M39" s="84"/>
      <c r="N39" s="88"/>
      <c r="O39" s="22"/>
    </row>
    <row r="40" s="31" customFormat="1" ht="18" customHeight="1" spans="1:15">
      <c r="A40" s="60">
        <v>43647</v>
      </c>
      <c r="B40" s="46">
        <f t="shared" si="4"/>
        <v>456838.94</v>
      </c>
      <c r="C40" s="62"/>
      <c r="D40" s="63" t="s">
        <v>50</v>
      </c>
      <c r="E40" s="64">
        <v>0.13</v>
      </c>
      <c r="F40" s="46">
        <f t="shared" si="5"/>
        <v>59389.06</v>
      </c>
      <c r="G40" s="149">
        <f>233041.98+110748.49+172437.53</f>
        <v>516228</v>
      </c>
      <c r="H40" s="51">
        <v>43669</v>
      </c>
      <c r="I40" s="4">
        <v>516228</v>
      </c>
      <c r="J40" s="88" t="s">
        <v>21</v>
      </c>
      <c r="K40" s="13" t="s">
        <v>51</v>
      </c>
      <c r="L40" s="58" t="s">
        <v>52</v>
      </c>
      <c r="M40" s="84"/>
      <c r="N40" s="88"/>
      <c r="O40" s="22"/>
    </row>
    <row r="41" s="31" customFormat="1" ht="18" customHeight="1" spans="1:15">
      <c r="A41" s="60">
        <v>43647</v>
      </c>
      <c r="B41" s="46">
        <f t="shared" si="4"/>
        <v>442477.88</v>
      </c>
      <c r="C41" s="62"/>
      <c r="D41" s="63" t="s">
        <v>50</v>
      </c>
      <c r="E41" s="64">
        <v>0.13</v>
      </c>
      <c r="F41" s="46">
        <f t="shared" si="5"/>
        <v>57522.12</v>
      </c>
      <c r="G41" s="149">
        <f>100000*5</f>
        <v>500000</v>
      </c>
      <c r="H41" s="51">
        <v>43669</v>
      </c>
      <c r="I41" s="4">
        <v>1000000</v>
      </c>
      <c r="J41" s="88" t="s">
        <v>21</v>
      </c>
      <c r="K41" s="96" t="s">
        <v>65</v>
      </c>
      <c r="L41" s="58" t="s">
        <v>66</v>
      </c>
      <c r="M41" s="84"/>
      <c r="N41" s="88"/>
      <c r="O41" s="22"/>
    </row>
    <row r="42" s="31" customFormat="1" ht="18" customHeight="1" spans="1:15">
      <c r="A42" s="60">
        <v>43678</v>
      </c>
      <c r="B42" s="46">
        <f t="shared" si="4"/>
        <v>485436.89</v>
      </c>
      <c r="C42" s="62"/>
      <c r="D42" s="63" t="s">
        <v>50</v>
      </c>
      <c r="E42" s="70">
        <v>0.03</v>
      </c>
      <c r="F42" s="46">
        <f t="shared" si="5"/>
        <v>14563.11</v>
      </c>
      <c r="G42" s="149">
        <v>500000</v>
      </c>
      <c r="H42" s="51">
        <v>43711</v>
      </c>
      <c r="I42" s="4">
        <v>412560</v>
      </c>
      <c r="J42" s="88" t="s">
        <v>21</v>
      </c>
      <c r="K42" s="96" t="s">
        <v>67</v>
      </c>
      <c r="L42" s="58" t="s">
        <v>58</v>
      </c>
      <c r="M42" s="84"/>
      <c r="N42" s="88"/>
      <c r="O42" s="22"/>
    </row>
    <row r="43" s="31" customFormat="1" ht="18" customHeight="1" spans="1:15">
      <c r="A43" s="60">
        <v>43678</v>
      </c>
      <c r="B43" s="46">
        <f t="shared" si="4"/>
        <v>265486.73</v>
      </c>
      <c r="C43" s="62"/>
      <c r="D43" s="63" t="s">
        <v>50</v>
      </c>
      <c r="E43" s="70">
        <v>0.13</v>
      </c>
      <c r="F43" s="46">
        <f t="shared" si="5"/>
        <v>34513.27</v>
      </c>
      <c r="G43" s="149">
        <v>300000</v>
      </c>
      <c r="H43" s="51"/>
      <c r="I43" s="4"/>
      <c r="J43" s="88"/>
      <c r="K43" s="96" t="s">
        <v>65</v>
      </c>
      <c r="L43" s="58" t="s">
        <v>66</v>
      </c>
      <c r="M43" s="84"/>
      <c r="N43" s="88"/>
      <c r="O43" s="22"/>
    </row>
    <row r="44" s="31" customFormat="1" ht="18" customHeight="1" spans="1:15">
      <c r="A44" s="60">
        <v>43770</v>
      </c>
      <c r="B44" s="4">
        <f t="shared" si="4"/>
        <v>478088.5</v>
      </c>
      <c r="C44" s="71"/>
      <c r="D44" s="63" t="s">
        <v>50</v>
      </c>
      <c r="E44" s="72">
        <v>0.13</v>
      </c>
      <c r="F44" s="4">
        <f t="shared" si="5"/>
        <v>62151.5</v>
      </c>
      <c r="G44" s="152">
        <f>142447.66+166479.06+161610.66+69702.62</f>
        <v>540240</v>
      </c>
      <c r="H44" s="51"/>
      <c r="I44" s="4"/>
      <c r="J44" s="88"/>
      <c r="K44" s="13" t="s">
        <v>51</v>
      </c>
      <c r="L44" s="58" t="s">
        <v>68</v>
      </c>
      <c r="M44" s="84"/>
      <c r="N44" s="88"/>
      <c r="O44" s="22"/>
    </row>
    <row r="45" s="31" customFormat="1" ht="18" customHeight="1" spans="1:15">
      <c r="A45" s="60">
        <v>43770</v>
      </c>
      <c r="B45" s="4">
        <f t="shared" si="4"/>
        <v>619469.03</v>
      </c>
      <c r="C45" s="71"/>
      <c r="D45" s="63" t="s">
        <v>50</v>
      </c>
      <c r="E45" s="72">
        <v>0.13</v>
      </c>
      <c r="F45" s="4">
        <f t="shared" si="5"/>
        <v>80530.97</v>
      </c>
      <c r="G45" s="152">
        <f>100000*7</f>
        <v>700000</v>
      </c>
      <c r="H45" s="51">
        <v>43794</v>
      </c>
      <c r="I45" s="4">
        <v>1000000</v>
      </c>
      <c r="J45" s="88" t="s">
        <v>21</v>
      </c>
      <c r="K45" s="96" t="s">
        <v>65</v>
      </c>
      <c r="L45" s="58" t="s">
        <v>69</v>
      </c>
      <c r="M45" s="84"/>
      <c r="N45" s="88" t="s">
        <v>70</v>
      </c>
      <c r="O45" s="22"/>
    </row>
    <row r="46" s="31" customFormat="1" ht="18" customHeight="1" spans="1:15">
      <c r="A46" s="60">
        <v>43770</v>
      </c>
      <c r="B46" s="4">
        <f t="shared" si="4"/>
        <v>980582.52</v>
      </c>
      <c r="C46" s="71"/>
      <c r="D46" s="63" t="s">
        <v>50</v>
      </c>
      <c r="E46" s="72">
        <v>0.03</v>
      </c>
      <c r="F46" s="4">
        <f t="shared" si="5"/>
        <v>29417.48</v>
      </c>
      <c r="G46" s="152">
        <f>100000*10+10000</f>
        <v>1010000</v>
      </c>
      <c r="H46" s="51">
        <v>43802</v>
      </c>
      <c r="I46" s="4">
        <v>900000</v>
      </c>
      <c r="J46" s="88" t="s">
        <v>21</v>
      </c>
      <c r="K46" s="96" t="s">
        <v>67</v>
      </c>
      <c r="L46" s="58" t="s">
        <v>58</v>
      </c>
      <c r="M46" s="84"/>
      <c r="N46" s="88"/>
      <c r="O46" s="22"/>
    </row>
    <row r="47" s="31" customFormat="1" ht="18" customHeight="1" spans="1:15">
      <c r="A47" s="60">
        <v>43770</v>
      </c>
      <c r="B47" s="4">
        <f t="shared" si="4"/>
        <v>400000</v>
      </c>
      <c r="C47" s="71"/>
      <c r="D47" s="63" t="s">
        <v>54</v>
      </c>
      <c r="E47" s="72"/>
      <c r="F47" s="4">
        <f t="shared" si="5"/>
        <v>0</v>
      </c>
      <c r="G47" s="152">
        <v>400000</v>
      </c>
      <c r="H47" s="51">
        <v>43802</v>
      </c>
      <c r="I47" s="4">
        <v>400000</v>
      </c>
      <c r="J47" s="88" t="s">
        <v>21</v>
      </c>
      <c r="K47" s="96" t="s">
        <v>71</v>
      </c>
      <c r="L47" s="58" t="s">
        <v>43</v>
      </c>
      <c r="M47" s="84"/>
      <c r="N47" s="88"/>
      <c r="O47" s="22"/>
    </row>
    <row r="48" s="31" customFormat="1" ht="18" customHeight="1" spans="1:15">
      <c r="A48" s="60"/>
      <c r="B48" s="4">
        <f t="shared" si="4"/>
        <v>0</v>
      </c>
      <c r="C48" s="71"/>
      <c r="D48" s="74"/>
      <c r="E48" s="72"/>
      <c r="F48" s="4">
        <f t="shared" si="5"/>
        <v>0</v>
      </c>
      <c r="G48" s="152"/>
      <c r="H48" s="51">
        <v>43797</v>
      </c>
      <c r="I48" s="4">
        <v>540600</v>
      </c>
      <c r="J48" s="88" t="s">
        <v>21</v>
      </c>
      <c r="K48" s="96" t="s">
        <v>51</v>
      </c>
      <c r="L48" s="58" t="s">
        <v>52</v>
      </c>
      <c r="M48" s="84"/>
      <c r="N48" s="88"/>
      <c r="O48" s="22"/>
    </row>
    <row r="49" s="31" customFormat="1" ht="18" customHeight="1" spans="1:15">
      <c r="A49" s="60">
        <v>43831</v>
      </c>
      <c r="B49" s="4">
        <f t="shared" si="4"/>
        <v>707964.6</v>
      </c>
      <c r="C49" s="71"/>
      <c r="D49" s="63" t="s">
        <v>50</v>
      </c>
      <c r="E49" s="72">
        <v>0.13</v>
      </c>
      <c r="F49" s="4">
        <f t="shared" si="5"/>
        <v>92035.4</v>
      </c>
      <c r="G49" s="152">
        <f>8*100000</f>
        <v>800000</v>
      </c>
      <c r="H49" s="51">
        <v>43849</v>
      </c>
      <c r="I49" s="4">
        <v>1000000</v>
      </c>
      <c r="J49" s="88" t="s">
        <v>21</v>
      </c>
      <c r="K49" s="96" t="s">
        <v>65</v>
      </c>
      <c r="L49" s="58" t="s">
        <v>72</v>
      </c>
      <c r="M49" s="84" t="s">
        <v>73</v>
      </c>
      <c r="N49" s="88" t="s">
        <v>74</v>
      </c>
      <c r="O49" s="22"/>
    </row>
    <row r="50" s="31" customFormat="1" ht="18" customHeight="1" spans="1:15">
      <c r="A50" s="60">
        <v>43831</v>
      </c>
      <c r="B50" s="4">
        <f t="shared" si="4"/>
        <v>399500</v>
      </c>
      <c r="C50" s="71"/>
      <c r="D50" s="63" t="s">
        <v>54</v>
      </c>
      <c r="E50" s="72"/>
      <c r="F50" s="4">
        <f t="shared" si="5"/>
        <v>0</v>
      </c>
      <c r="G50" s="152">
        <v>399500</v>
      </c>
      <c r="H50" s="51">
        <v>43849</v>
      </c>
      <c r="I50" s="4">
        <v>399500</v>
      </c>
      <c r="J50" s="84" t="s">
        <v>37</v>
      </c>
      <c r="K50" s="96" t="s">
        <v>75</v>
      </c>
      <c r="L50" s="58" t="s">
        <v>76</v>
      </c>
      <c r="M50" s="84" t="s">
        <v>73</v>
      </c>
      <c r="N50" s="88"/>
      <c r="O50" s="22"/>
    </row>
    <row r="51" s="33" customFormat="1" ht="18" customHeight="1" spans="1:15">
      <c r="A51" s="60">
        <v>43831</v>
      </c>
      <c r="B51" s="46">
        <f t="shared" si="4"/>
        <v>353982.3</v>
      </c>
      <c r="C51" s="62"/>
      <c r="D51" s="63" t="s">
        <v>50</v>
      </c>
      <c r="E51" s="70">
        <v>0.13</v>
      </c>
      <c r="F51" s="46">
        <f t="shared" si="5"/>
        <v>46017.7</v>
      </c>
      <c r="G51" s="149">
        <v>400000</v>
      </c>
      <c r="H51" s="75">
        <v>43851</v>
      </c>
      <c r="I51" s="46">
        <v>350000</v>
      </c>
      <c r="J51" s="88" t="s">
        <v>21</v>
      </c>
      <c r="K51" s="13" t="s">
        <v>77</v>
      </c>
      <c r="L51" s="22" t="s">
        <v>78</v>
      </c>
      <c r="M51" s="101" t="s">
        <v>79</v>
      </c>
      <c r="N51" s="88"/>
      <c r="O51" s="102" t="s">
        <v>32</v>
      </c>
    </row>
    <row r="52" s="31" customFormat="1" ht="18" customHeight="1" spans="1:15">
      <c r="A52" s="60">
        <v>43831</v>
      </c>
      <c r="B52" s="4">
        <f t="shared" ref="B52:B69" si="6">ROUND(G52/(1+E52),2)</f>
        <v>162530.97</v>
      </c>
      <c r="C52" s="71"/>
      <c r="D52" s="74" t="s">
        <v>50</v>
      </c>
      <c r="E52" s="72">
        <v>0.13</v>
      </c>
      <c r="F52" s="4">
        <f t="shared" ref="F52:F70" si="7">ROUND(G52/(1+E52)*E52,2)</f>
        <v>21129.03</v>
      </c>
      <c r="G52" s="152">
        <f>108780+74880</f>
        <v>183660</v>
      </c>
      <c r="H52" s="51">
        <v>43849</v>
      </c>
      <c r="I52" s="4">
        <v>183660</v>
      </c>
      <c r="J52" s="88" t="s">
        <v>21</v>
      </c>
      <c r="K52" s="96" t="s">
        <v>80</v>
      </c>
      <c r="L52" s="58" t="s">
        <v>81</v>
      </c>
      <c r="M52" s="84"/>
      <c r="N52" s="88"/>
      <c r="O52" s="22"/>
    </row>
    <row r="53" s="33" customFormat="1" ht="18" customHeight="1" spans="1:15">
      <c r="A53" s="76">
        <v>44002</v>
      </c>
      <c r="B53" s="119">
        <f t="shared" si="6"/>
        <v>1415929.2</v>
      </c>
      <c r="C53" s="77"/>
      <c r="D53" s="78" t="s">
        <v>50</v>
      </c>
      <c r="E53" s="79">
        <v>0.13</v>
      </c>
      <c r="F53" s="119">
        <f t="shared" si="7"/>
        <v>184070.8</v>
      </c>
      <c r="G53" s="153">
        <v>1600000</v>
      </c>
      <c r="H53" s="75">
        <v>44126</v>
      </c>
      <c r="I53" s="46">
        <v>1130000</v>
      </c>
      <c r="J53" s="88" t="s">
        <v>21</v>
      </c>
      <c r="K53" s="13" t="s">
        <v>65</v>
      </c>
      <c r="L53" s="22" t="s">
        <v>82</v>
      </c>
      <c r="M53" s="88" t="s">
        <v>83</v>
      </c>
      <c r="N53" s="97"/>
      <c r="O53" s="103" t="s">
        <v>84</v>
      </c>
    </row>
    <row r="54" s="33" customFormat="1" ht="18" customHeight="1" spans="1:15">
      <c r="A54" s="76">
        <v>44124</v>
      </c>
      <c r="B54" s="119">
        <f t="shared" si="6"/>
        <v>796460.18</v>
      </c>
      <c r="C54" s="77">
        <v>9</v>
      </c>
      <c r="D54" s="78" t="s">
        <v>50</v>
      </c>
      <c r="E54" s="79">
        <v>0.13</v>
      </c>
      <c r="F54" s="119">
        <f t="shared" si="7"/>
        <v>103539.82</v>
      </c>
      <c r="G54" s="153">
        <v>900000</v>
      </c>
      <c r="H54" s="75"/>
      <c r="I54" s="46"/>
      <c r="J54" s="88"/>
      <c r="K54" s="13" t="s">
        <v>65</v>
      </c>
      <c r="L54" s="22" t="s">
        <v>82</v>
      </c>
      <c r="M54" s="88"/>
      <c r="N54" s="97"/>
      <c r="O54" s="104"/>
    </row>
    <row r="55" s="33" customFormat="1" ht="18" customHeight="1" spans="1:15">
      <c r="A55" s="60">
        <v>44124</v>
      </c>
      <c r="B55" s="46">
        <f t="shared" si="6"/>
        <v>251819.27</v>
      </c>
      <c r="C55" s="62">
        <v>3</v>
      </c>
      <c r="D55" s="63" t="s">
        <v>50</v>
      </c>
      <c r="E55" s="70">
        <v>0.01</v>
      </c>
      <c r="F55" s="46">
        <f t="shared" si="7"/>
        <v>2518.19</v>
      </c>
      <c r="G55" s="149">
        <f>200000+54337.46</f>
        <v>254337.46</v>
      </c>
      <c r="H55" s="75">
        <v>44134</v>
      </c>
      <c r="I55" s="46">
        <v>254337.46</v>
      </c>
      <c r="J55" s="88" t="s">
        <v>21</v>
      </c>
      <c r="K55" s="13" t="s">
        <v>67</v>
      </c>
      <c r="L55" s="22" t="s">
        <v>58</v>
      </c>
      <c r="M55" s="105" t="s">
        <v>85</v>
      </c>
      <c r="N55" s="97"/>
      <c r="O55" s="102" t="s">
        <v>32</v>
      </c>
    </row>
    <row r="56" s="33" customFormat="1" ht="18" customHeight="1" spans="1:15">
      <c r="A56" s="76">
        <v>44124</v>
      </c>
      <c r="B56" s="119">
        <f t="shared" si="6"/>
        <v>296039.6</v>
      </c>
      <c r="C56" s="77">
        <v>3</v>
      </c>
      <c r="D56" s="78" t="s">
        <v>50</v>
      </c>
      <c r="E56" s="79">
        <v>0.01</v>
      </c>
      <c r="F56" s="119">
        <f t="shared" si="7"/>
        <v>2960.4</v>
      </c>
      <c r="G56" s="153">
        <f>200000+99000</f>
        <v>299000</v>
      </c>
      <c r="H56" s="75">
        <v>44134</v>
      </c>
      <c r="I56" s="46">
        <v>299000</v>
      </c>
      <c r="J56" s="88" t="s">
        <v>21</v>
      </c>
      <c r="K56" s="13" t="s">
        <v>67</v>
      </c>
      <c r="L56" s="22" t="s">
        <v>43</v>
      </c>
      <c r="M56" s="105" t="s">
        <v>86</v>
      </c>
      <c r="N56" s="97"/>
      <c r="O56" s="15" t="s">
        <v>87</v>
      </c>
    </row>
    <row r="57" s="33" customFormat="1" ht="18" customHeight="1" spans="1:15">
      <c r="A57" s="76"/>
      <c r="B57" s="46">
        <f t="shared" si="6"/>
        <v>0</v>
      </c>
      <c r="C57" s="77"/>
      <c r="D57" s="78"/>
      <c r="E57" s="79"/>
      <c r="F57" s="46">
        <f t="shared" si="7"/>
        <v>0</v>
      </c>
      <c r="G57" s="153"/>
      <c r="H57" s="75">
        <v>44134</v>
      </c>
      <c r="I57" s="46">
        <v>197440</v>
      </c>
      <c r="J57" s="88" t="s">
        <v>21</v>
      </c>
      <c r="K57" s="13" t="s">
        <v>67</v>
      </c>
      <c r="L57" s="22" t="s">
        <v>58</v>
      </c>
      <c r="M57" s="88"/>
      <c r="N57" s="97"/>
      <c r="O57" s="102"/>
    </row>
    <row r="58" s="33" customFormat="1" ht="18" customHeight="1" spans="1:15">
      <c r="A58" s="60">
        <v>44133</v>
      </c>
      <c r="B58" s="46">
        <f t="shared" si="6"/>
        <v>818437.6</v>
      </c>
      <c r="C58" s="62">
        <v>9</v>
      </c>
      <c r="D58" s="63" t="s">
        <v>50</v>
      </c>
      <c r="E58" s="70">
        <v>0.01</v>
      </c>
      <c r="F58" s="46">
        <f t="shared" si="7"/>
        <v>8184.38</v>
      </c>
      <c r="G58" s="149">
        <f>800000+26621.98</f>
        <v>826621.98</v>
      </c>
      <c r="H58" s="75">
        <v>44134</v>
      </c>
      <c r="I58" s="46">
        <v>826621.98</v>
      </c>
      <c r="J58" s="88" t="s">
        <v>21</v>
      </c>
      <c r="K58" s="13" t="s">
        <v>88</v>
      </c>
      <c r="L58" s="22" t="s">
        <v>58</v>
      </c>
      <c r="M58" s="105" t="s">
        <v>89</v>
      </c>
      <c r="N58" s="97"/>
      <c r="O58" s="102" t="s">
        <v>32</v>
      </c>
    </row>
    <row r="59" s="33" customFormat="1" ht="18" customHeight="1" spans="1:15">
      <c r="A59" s="60">
        <v>44197</v>
      </c>
      <c r="B59" s="46">
        <f t="shared" si="6"/>
        <v>160608.5</v>
      </c>
      <c r="C59" s="62">
        <v>2</v>
      </c>
      <c r="D59" s="63" t="s">
        <v>50</v>
      </c>
      <c r="E59" s="70">
        <v>0.13</v>
      </c>
      <c r="F59" s="46">
        <f t="shared" si="7"/>
        <v>20879.1</v>
      </c>
      <c r="G59" s="149">
        <f>108200+73287.6</f>
        <v>181487.6</v>
      </c>
      <c r="H59" s="75">
        <v>44216</v>
      </c>
      <c r="I59" s="46">
        <v>181487.6</v>
      </c>
      <c r="J59" s="88" t="s">
        <v>21</v>
      </c>
      <c r="K59" s="13" t="s">
        <v>90</v>
      </c>
      <c r="L59" s="22" t="s">
        <v>91</v>
      </c>
      <c r="M59" s="105" t="s">
        <v>92</v>
      </c>
      <c r="N59" s="97"/>
      <c r="O59" s="102"/>
    </row>
    <row r="60" s="33" customFormat="1" ht="18" customHeight="1" spans="1:15">
      <c r="A60" s="76"/>
      <c r="B60" s="46">
        <f t="shared" si="6"/>
        <v>0</v>
      </c>
      <c r="C60" s="77"/>
      <c r="D60" s="78"/>
      <c r="E60" s="79"/>
      <c r="F60" s="46">
        <f t="shared" si="7"/>
        <v>0</v>
      </c>
      <c r="G60" s="153"/>
      <c r="H60" s="75">
        <v>44180</v>
      </c>
      <c r="I60" s="4">
        <v>-500000</v>
      </c>
      <c r="J60" s="88" t="s">
        <v>21</v>
      </c>
      <c r="K60" s="13" t="s">
        <v>93</v>
      </c>
      <c r="L60" s="22"/>
      <c r="M60" s="88"/>
      <c r="N60" s="97"/>
      <c r="O60" s="102"/>
    </row>
    <row r="61" s="33" customFormat="1" ht="18" customHeight="1" spans="1:15">
      <c r="A61" s="76"/>
      <c r="B61" s="46">
        <f t="shared" si="6"/>
        <v>0</v>
      </c>
      <c r="C61" s="77"/>
      <c r="D61" s="78"/>
      <c r="E61" s="79"/>
      <c r="F61" s="46">
        <f t="shared" si="7"/>
        <v>0</v>
      </c>
      <c r="G61" s="153"/>
      <c r="H61" s="75">
        <v>44181</v>
      </c>
      <c r="I61" s="46">
        <v>500000</v>
      </c>
      <c r="J61" s="88" t="s">
        <v>21</v>
      </c>
      <c r="K61" s="13" t="s">
        <v>40</v>
      </c>
      <c r="L61" s="22" t="s">
        <v>94</v>
      </c>
      <c r="M61" s="88"/>
      <c r="N61" s="97"/>
      <c r="O61" s="102"/>
    </row>
    <row r="62" s="33" customFormat="1" ht="18" customHeight="1" spans="1:15">
      <c r="A62" s="76"/>
      <c r="B62" s="46">
        <f t="shared" si="6"/>
        <v>0</v>
      </c>
      <c r="C62" s="77"/>
      <c r="D62" s="78"/>
      <c r="E62" s="79"/>
      <c r="F62" s="46">
        <f t="shared" si="7"/>
        <v>0</v>
      </c>
      <c r="G62" s="153"/>
      <c r="H62" s="75"/>
      <c r="I62" s="46"/>
      <c r="J62" s="88"/>
      <c r="K62" s="96" t="s">
        <v>65</v>
      </c>
      <c r="L62" s="58" t="s">
        <v>82</v>
      </c>
      <c r="M62" s="97">
        <v>1130000</v>
      </c>
      <c r="N62" s="97"/>
      <c r="O62" s="102" t="s">
        <v>95</v>
      </c>
    </row>
    <row r="63" s="33" customFormat="1" ht="18" customHeight="1" spans="1:15">
      <c r="A63" s="60">
        <v>44231</v>
      </c>
      <c r="B63" s="46">
        <f t="shared" si="6"/>
        <v>315000</v>
      </c>
      <c r="C63" s="62">
        <v>5</v>
      </c>
      <c r="D63" s="63" t="s">
        <v>96</v>
      </c>
      <c r="E63" s="70"/>
      <c r="F63" s="46">
        <f t="shared" si="7"/>
        <v>0</v>
      </c>
      <c r="G63" s="149">
        <f>10000+5000+100000+100000+100000</f>
        <v>315000</v>
      </c>
      <c r="H63" s="75">
        <v>44231</v>
      </c>
      <c r="I63" s="46">
        <v>315000</v>
      </c>
      <c r="J63" s="88" t="s">
        <v>21</v>
      </c>
      <c r="K63" s="46" t="s">
        <v>97</v>
      </c>
      <c r="L63" s="22" t="s">
        <v>98</v>
      </c>
      <c r="M63" s="105" t="s">
        <v>99</v>
      </c>
      <c r="N63" s="97"/>
      <c r="O63" s="102"/>
    </row>
    <row r="64" s="33" customFormat="1" ht="18" customHeight="1" spans="1:15">
      <c r="A64" s="60">
        <v>44231</v>
      </c>
      <c r="B64" s="46">
        <f t="shared" si="6"/>
        <v>272566.37</v>
      </c>
      <c r="C64" s="62">
        <v>3</v>
      </c>
      <c r="D64" s="63" t="s">
        <v>50</v>
      </c>
      <c r="E64" s="70">
        <v>0.13</v>
      </c>
      <c r="F64" s="46">
        <f t="shared" si="7"/>
        <v>35433.63</v>
      </c>
      <c r="G64" s="149">
        <f>200000+108000</f>
        <v>308000</v>
      </c>
      <c r="H64" s="75">
        <v>44231</v>
      </c>
      <c r="I64" s="46">
        <v>422000</v>
      </c>
      <c r="J64" s="88" t="s">
        <v>21</v>
      </c>
      <c r="K64" s="46" t="s">
        <v>62</v>
      </c>
      <c r="L64" s="22" t="s">
        <v>100</v>
      </c>
      <c r="M64" s="105" t="s">
        <v>101</v>
      </c>
      <c r="N64" s="97"/>
      <c r="O64" s="102" t="s">
        <v>102</v>
      </c>
    </row>
    <row r="65" s="33" customFormat="1" ht="18" customHeight="1" spans="1:15">
      <c r="A65" s="60">
        <v>44228</v>
      </c>
      <c r="B65" s="46">
        <f t="shared" si="6"/>
        <v>594059.41</v>
      </c>
      <c r="C65" s="62">
        <v>6</v>
      </c>
      <c r="D65" s="63" t="s">
        <v>50</v>
      </c>
      <c r="E65" s="70">
        <v>0.01</v>
      </c>
      <c r="F65" s="46">
        <f t="shared" si="7"/>
        <v>5940.59</v>
      </c>
      <c r="G65" s="149">
        <f>100000*6</f>
        <v>600000</v>
      </c>
      <c r="H65" s="75">
        <v>44231</v>
      </c>
      <c r="I65" s="46">
        <v>600000</v>
      </c>
      <c r="J65" s="88" t="s">
        <v>21</v>
      </c>
      <c r="K65" s="46" t="s">
        <v>67</v>
      </c>
      <c r="L65" s="22" t="s">
        <v>103</v>
      </c>
      <c r="M65" s="105" t="s">
        <v>104</v>
      </c>
      <c r="N65" s="97"/>
      <c r="O65" s="102"/>
    </row>
    <row r="66" s="33" customFormat="1" ht="18" customHeight="1" spans="1:15">
      <c r="A66" s="60"/>
      <c r="B66" s="46">
        <f t="shared" si="6"/>
        <v>40000</v>
      </c>
      <c r="C66" s="62"/>
      <c r="D66" s="63"/>
      <c r="E66" s="70"/>
      <c r="F66" s="46">
        <f t="shared" si="7"/>
        <v>0</v>
      </c>
      <c r="G66" s="149">
        <v>40000</v>
      </c>
      <c r="H66" s="75"/>
      <c r="I66" s="46">
        <v>40000</v>
      </c>
      <c r="J66" s="84" t="s">
        <v>105</v>
      </c>
      <c r="K66" s="13" t="s">
        <v>106</v>
      </c>
      <c r="L66" s="102"/>
      <c r="M66" s="97"/>
      <c r="N66" s="97"/>
      <c r="O66" s="102"/>
    </row>
    <row r="67" s="33" customFormat="1" ht="18" customHeight="1" spans="1:15">
      <c r="A67" s="76"/>
      <c r="B67" s="46">
        <f t="shared" si="6"/>
        <v>0</v>
      </c>
      <c r="C67" s="77"/>
      <c r="D67" s="78"/>
      <c r="E67" s="79"/>
      <c r="F67" s="46">
        <f t="shared" si="7"/>
        <v>0</v>
      </c>
      <c r="G67" s="153"/>
      <c r="H67" s="75"/>
      <c r="I67" s="46">
        <v>300</v>
      </c>
      <c r="J67" s="84" t="s">
        <v>105</v>
      </c>
      <c r="K67" s="96" t="s">
        <v>107</v>
      </c>
      <c r="L67" s="58"/>
      <c r="M67" s="97"/>
      <c r="N67" s="97"/>
      <c r="O67" s="102"/>
    </row>
    <row r="68" s="33" customFormat="1" ht="18" customHeight="1" spans="1:15">
      <c r="A68" s="76"/>
      <c r="B68" s="46">
        <f t="shared" si="6"/>
        <v>0</v>
      </c>
      <c r="C68" s="77"/>
      <c r="D68" s="78"/>
      <c r="E68" s="79"/>
      <c r="F68" s="46">
        <f t="shared" si="7"/>
        <v>0</v>
      </c>
      <c r="G68" s="153"/>
      <c r="H68" s="75"/>
      <c r="I68" s="46">
        <v>302085.26593415</v>
      </c>
      <c r="J68" s="88" t="s">
        <v>108</v>
      </c>
      <c r="K68" s="96" t="s">
        <v>109</v>
      </c>
      <c r="L68" s="58"/>
      <c r="M68" s="97"/>
      <c r="N68" s="97"/>
      <c r="O68" s="102"/>
    </row>
    <row r="69" s="33" customFormat="1" ht="18" customHeight="1" spans="1:15">
      <c r="A69" s="76"/>
      <c r="B69" s="46">
        <f t="shared" si="6"/>
        <v>0</v>
      </c>
      <c r="C69" s="77"/>
      <c r="D69" s="78"/>
      <c r="E69" s="79"/>
      <c r="F69" s="46">
        <f t="shared" si="7"/>
        <v>0</v>
      </c>
      <c r="G69" s="153"/>
      <c r="H69" s="75"/>
      <c r="I69" s="46">
        <v>1700.91743119266</v>
      </c>
      <c r="J69" s="88" t="s">
        <v>105</v>
      </c>
      <c r="K69" s="13" t="s">
        <v>110</v>
      </c>
      <c r="L69" s="58"/>
      <c r="M69" s="97"/>
      <c r="N69" s="97"/>
      <c r="O69" s="102"/>
    </row>
    <row r="70" s="33" customFormat="1" ht="18" customHeight="1" spans="1:15">
      <c r="A70" s="76"/>
      <c r="B70" s="46">
        <f t="shared" ref="B70:B72" si="8">ROUND(G70/(1+E70),2)</f>
        <v>0</v>
      </c>
      <c r="C70" s="77"/>
      <c r="D70" s="78"/>
      <c r="E70" s="79"/>
      <c r="F70" s="46">
        <f t="shared" si="7"/>
        <v>0</v>
      </c>
      <c r="G70" s="153"/>
      <c r="H70" s="75"/>
      <c r="I70" s="46">
        <v>100</v>
      </c>
      <c r="J70" s="84" t="s">
        <v>105</v>
      </c>
      <c r="K70" s="96" t="s">
        <v>107</v>
      </c>
      <c r="L70" s="22"/>
      <c r="M70" s="88"/>
      <c r="N70" s="97"/>
      <c r="O70" s="102"/>
    </row>
    <row r="71" s="33" customFormat="1" ht="18" customHeight="1" spans="1:15">
      <c r="A71" s="76"/>
      <c r="B71" s="46">
        <f t="shared" si="8"/>
        <v>0</v>
      </c>
      <c r="C71" s="77"/>
      <c r="D71" s="78"/>
      <c r="E71" s="79"/>
      <c r="F71" s="46">
        <f t="shared" ref="F70:F75" si="9">ROUND(G71/(1+E71)*E71,2)</f>
        <v>0</v>
      </c>
      <c r="G71" s="153"/>
      <c r="H71" s="75"/>
      <c r="I71" s="46">
        <v>100</v>
      </c>
      <c r="J71" s="84" t="s">
        <v>105</v>
      </c>
      <c r="K71" s="96" t="s">
        <v>107</v>
      </c>
      <c r="L71" s="22"/>
      <c r="M71" s="88"/>
      <c r="N71" s="97"/>
      <c r="O71" s="102"/>
    </row>
    <row r="72" s="33" customFormat="1" ht="18" customHeight="1" spans="1:15">
      <c r="A72" s="76"/>
      <c r="B72" s="46">
        <f t="shared" si="8"/>
        <v>0</v>
      </c>
      <c r="C72" s="77"/>
      <c r="D72" s="78"/>
      <c r="E72" s="79"/>
      <c r="F72" s="46">
        <f t="shared" si="9"/>
        <v>0</v>
      </c>
      <c r="G72" s="153"/>
      <c r="H72" s="75"/>
      <c r="I72" s="46">
        <v>100</v>
      </c>
      <c r="J72" s="84" t="s">
        <v>105</v>
      </c>
      <c r="K72" s="96" t="s">
        <v>107</v>
      </c>
      <c r="L72" s="102"/>
      <c r="M72" s="88"/>
      <c r="N72" s="97"/>
      <c r="O72" s="102"/>
    </row>
    <row r="73" s="33" customFormat="1" ht="18" customHeight="1" spans="1:15">
      <c r="A73" s="76"/>
      <c r="B73" s="46">
        <f t="shared" ref="B73:B77" si="10">ROUND(G73/(1+E73),2)</f>
        <v>0</v>
      </c>
      <c r="C73" s="77"/>
      <c r="D73" s="78"/>
      <c r="E73" s="79"/>
      <c r="F73" s="46">
        <f t="shared" si="9"/>
        <v>0</v>
      </c>
      <c r="G73" s="153"/>
      <c r="H73" s="75"/>
      <c r="I73" s="46">
        <v>-439211</v>
      </c>
      <c r="J73" s="88" t="s">
        <v>111</v>
      </c>
      <c r="K73" s="13" t="s">
        <v>112</v>
      </c>
      <c r="L73" s="102"/>
      <c r="M73" s="88"/>
      <c r="N73" s="97"/>
      <c r="O73" s="102"/>
    </row>
    <row r="74" s="33" customFormat="1" ht="18" customHeight="1" spans="1:15">
      <c r="A74" s="76"/>
      <c r="B74" s="46">
        <f t="shared" si="10"/>
        <v>0</v>
      </c>
      <c r="C74" s="77"/>
      <c r="D74" s="78"/>
      <c r="E74" s="79"/>
      <c r="F74" s="46">
        <f t="shared" si="9"/>
        <v>0</v>
      </c>
      <c r="G74" s="153"/>
      <c r="H74" s="75"/>
      <c r="I74" s="46">
        <v>300</v>
      </c>
      <c r="J74" s="84" t="s">
        <v>105</v>
      </c>
      <c r="K74" s="96" t="s">
        <v>107</v>
      </c>
      <c r="L74" s="22"/>
      <c r="M74" s="88"/>
      <c r="N74" s="97"/>
      <c r="O74" s="102"/>
    </row>
    <row r="75" s="31" customFormat="1" ht="18" customHeight="1" spans="1:15">
      <c r="A75" s="60"/>
      <c r="B75" s="46">
        <f t="shared" si="10"/>
        <v>0</v>
      </c>
      <c r="C75" s="71"/>
      <c r="D75" s="63"/>
      <c r="E75" s="72"/>
      <c r="F75" s="46">
        <f t="shared" si="9"/>
        <v>0</v>
      </c>
      <c r="G75" s="152"/>
      <c r="H75" s="51"/>
      <c r="I75" s="4">
        <v>200</v>
      </c>
      <c r="J75" s="84" t="s">
        <v>105</v>
      </c>
      <c r="K75" s="96" t="s">
        <v>107</v>
      </c>
      <c r="L75" s="58"/>
      <c r="M75" s="84"/>
      <c r="N75" s="88"/>
      <c r="O75" s="22"/>
    </row>
    <row r="76" s="31" customFormat="1" ht="18" customHeight="1" spans="1:15">
      <c r="A76" s="60"/>
      <c r="B76" s="46">
        <f t="shared" si="10"/>
        <v>60000</v>
      </c>
      <c r="C76" s="71"/>
      <c r="D76" s="63"/>
      <c r="E76" s="72"/>
      <c r="F76" s="46">
        <f t="shared" ref="F73:F78" si="11">ROUND(G76/(1+E76)*E76,2)</f>
        <v>0</v>
      </c>
      <c r="G76" s="152">
        <v>60000</v>
      </c>
      <c r="H76" s="51"/>
      <c r="I76" s="4">
        <f>G76</f>
        <v>60000</v>
      </c>
      <c r="J76" s="84" t="s">
        <v>105</v>
      </c>
      <c r="K76" s="13" t="s">
        <v>106</v>
      </c>
      <c r="L76" s="58"/>
      <c r="M76" s="84"/>
      <c r="N76" s="88"/>
      <c r="O76" s="22"/>
    </row>
    <row r="77" s="31" customFormat="1" ht="18" customHeight="1" spans="1:15">
      <c r="A77" s="60"/>
      <c r="B77" s="46">
        <f t="shared" si="10"/>
        <v>0</v>
      </c>
      <c r="C77" s="71"/>
      <c r="D77" s="63"/>
      <c r="E77" s="72"/>
      <c r="F77" s="46">
        <f t="shared" si="11"/>
        <v>0</v>
      </c>
      <c r="G77" s="152"/>
      <c r="H77" s="51"/>
      <c r="I77" s="4">
        <v>325230</v>
      </c>
      <c r="J77" s="88" t="s">
        <v>108</v>
      </c>
      <c r="K77" s="96" t="s">
        <v>113</v>
      </c>
      <c r="L77" s="58"/>
      <c r="M77" s="84"/>
      <c r="N77" s="88"/>
      <c r="O77" s="22"/>
    </row>
    <row r="78" s="31" customFormat="1" ht="18" customHeight="1" spans="1:15">
      <c r="A78" s="60"/>
      <c r="B78" s="4">
        <f t="shared" ref="B75:B84" si="12">ROUND(G78/(1+E78),2)</f>
        <v>0</v>
      </c>
      <c r="C78" s="71"/>
      <c r="D78" s="63"/>
      <c r="E78" s="72"/>
      <c r="F78" s="46">
        <f t="shared" si="11"/>
        <v>0</v>
      </c>
      <c r="G78" s="152"/>
      <c r="H78" s="51"/>
      <c r="I78" s="4">
        <v>2551.38</v>
      </c>
      <c r="J78" s="88" t="s">
        <v>105</v>
      </c>
      <c r="K78" s="13" t="s">
        <v>114</v>
      </c>
      <c r="L78" s="58"/>
      <c r="M78" s="84"/>
      <c r="N78" s="88"/>
      <c r="O78" s="22"/>
    </row>
    <row r="79" s="31" customFormat="1" ht="18" customHeight="1" spans="1:15">
      <c r="A79" s="60"/>
      <c r="B79" s="4">
        <f t="shared" si="12"/>
        <v>0</v>
      </c>
      <c r="C79" s="71"/>
      <c r="D79" s="63"/>
      <c r="E79" s="72"/>
      <c r="F79" s="4">
        <f t="shared" ref="F75:F86" si="13">ROUND(G79/(1+E79)*E79,2)</f>
        <v>0</v>
      </c>
      <c r="G79" s="152"/>
      <c r="H79" s="51" t="s">
        <v>115</v>
      </c>
      <c r="I79" s="4">
        <v>500</v>
      </c>
      <c r="J79" s="84" t="s">
        <v>105</v>
      </c>
      <c r="K79" s="96" t="s">
        <v>107</v>
      </c>
      <c r="L79" s="58">
        <f>I64-G64</f>
        <v>114000</v>
      </c>
      <c r="M79" s="84"/>
      <c r="N79" s="88"/>
      <c r="O79" s="22"/>
    </row>
    <row r="80" s="31" customFormat="1" ht="18" customHeight="1" spans="1:15">
      <c r="A80" s="60"/>
      <c r="B80" s="4">
        <f t="shared" si="12"/>
        <v>0</v>
      </c>
      <c r="C80" s="71"/>
      <c r="D80" s="63"/>
      <c r="E80" s="72"/>
      <c r="F80" s="4">
        <f t="shared" si="13"/>
        <v>0</v>
      </c>
      <c r="G80" s="152"/>
      <c r="H80" s="107" t="s">
        <v>115</v>
      </c>
      <c r="I80" s="158">
        <v>-122288</v>
      </c>
      <c r="J80" s="125" t="s">
        <v>111</v>
      </c>
      <c r="K80" s="126" t="s">
        <v>116</v>
      </c>
      <c r="L80" s="58"/>
      <c r="M80" s="84"/>
      <c r="N80" s="88"/>
      <c r="O80" s="22"/>
    </row>
    <row r="81" s="31" customFormat="1" ht="18" customHeight="1" spans="1:15">
      <c r="A81" s="60"/>
      <c r="B81" s="4">
        <f t="shared" si="12"/>
        <v>40000</v>
      </c>
      <c r="C81" s="71"/>
      <c r="D81" s="63"/>
      <c r="E81" s="72"/>
      <c r="F81" s="4">
        <f t="shared" si="13"/>
        <v>0</v>
      </c>
      <c r="G81" s="152">
        <v>40000</v>
      </c>
      <c r="H81" s="51" t="s">
        <v>115</v>
      </c>
      <c r="I81" s="4">
        <f>G81</f>
        <v>40000</v>
      </c>
      <c r="J81" s="84" t="s">
        <v>105</v>
      </c>
      <c r="K81" s="13" t="s">
        <v>106</v>
      </c>
      <c r="L81" s="58"/>
      <c r="M81" s="84"/>
      <c r="N81" s="88"/>
      <c r="O81" s="22"/>
    </row>
    <row r="82" s="31" customFormat="1" ht="18" customHeight="1" spans="1:15">
      <c r="A82" s="60"/>
      <c r="B82" s="4">
        <f t="shared" si="12"/>
        <v>0</v>
      </c>
      <c r="C82" s="71"/>
      <c r="D82" s="63"/>
      <c r="E82" s="72"/>
      <c r="F82" s="4">
        <f t="shared" si="13"/>
        <v>0</v>
      </c>
      <c r="G82" s="152"/>
      <c r="H82" s="51" t="s">
        <v>115</v>
      </c>
      <c r="I82" s="4">
        <v>173871</v>
      </c>
      <c r="J82" s="88" t="s">
        <v>108</v>
      </c>
      <c r="K82" s="96" t="s">
        <v>113</v>
      </c>
      <c r="L82" s="58"/>
      <c r="M82" s="84"/>
      <c r="N82" s="88"/>
      <c r="O82" s="22"/>
    </row>
    <row r="83" s="31" customFormat="1" ht="18" customHeight="1" spans="1:15">
      <c r="A83" s="60"/>
      <c r="B83" s="4">
        <f t="shared" si="12"/>
        <v>0</v>
      </c>
      <c r="C83" s="71"/>
      <c r="D83" s="74"/>
      <c r="E83" s="72"/>
      <c r="F83" s="4">
        <f t="shared" si="13"/>
        <v>0</v>
      </c>
      <c r="G83" s="152"/>
      <c r="H83" s="51" t="s">
        <v>115</v>
      </c>
      <c r="I83" s="4">
        <v>1701</v>
      </c>
      <c r="J83" s="88" t="s">
        <v>105</v>
      </c>
      <c r="K83" s="13" t="s">
        <v>114</v>
      </c>
      <c r="L83" s="58"/>
      <c r="M83" s="84"/>
      <c r="N83" s="88"/>
      <c r="O83" s="22"/>
    </row>
    <row r="84" s="31" customFormat="1" ht="18" customHeight="1" spans="1:15">
      <c r="A84" s="60"/>
      <c r="B84" s="4">
        <f t="shared" si="12"/>
        <v>0</v>
      </c>
      <c r="C84" s="71"/>
      <c r="D84" s="74"/>
      <c r="E84" s="72"/>
      <c r="F84" s="4">
        <f t="shared" si="13"/>
        <v>0</v>
      </c>
      <c r="G84" s="152"/>
      <c r="H84" s="51" t="s">
        <v>115</v>
      </c>
      <c r="I84" s="4">
        <v>7690</v>
      </c>
      <c r="J84" s="84" t="s">
        <v>105</v>
      </c>
      <c r="K84" s="13" t="s">
        <v>117</v>
      </c>
      <c r="L84" s="58"/>
      <c r="M84" s="84" t="s">
        <v>32</v>
      </c>
      <c r="N84" s="88"/>
      <c r="O84" s="22"/>
    </row>
    <row r="85" s="31" customFormat="1" ht="18" customHeight="1" spans="1:15">
      <c r="A85" s="60"/>
      <c r="B85" s="46">
        <f t="shared" ref="B84:B102" si="14">ROUND(G85/(1+E85),2)</f>
        <v>0</v>
      </c>
      <c r="C85" s="62"/>
      <c r="D85" s="63"/>
      <c r="E85" s="70"/>
      <c r="F85" s="4">
        <f t="shared" si="13"/>
        <v>0</v>
      </c>
      <c r="G85" s="149"/>
      <c r="H85" s="51" t="s">
        <v>118</v>
      </c>
      <c r="I85" s="4">
        <f>-345147-8861</f>
        <v>-354008</v>
      </c>
      <c r="J85" s="88" t="s">
        <v>111</v>
      </c>
      <c r="K85" s="96" t="s">
        <v>116</v>
      </c>
      <c r="L85" s="58"/>
      <c r="M85" s="84"/>
      <c r="N85" s="88"/>
      <c r="O85" s="22"/>
    </row>
    <row r="86" s="31" customFormat="1" ht="18" customHeight="1" spans="1:15">
      <c r="A86" s="60"/>
      <c r="B86" s="46">
        <f t="shared" si="14"/>
        <v>0</v>
      </c>
      <c r="C86" s="62"/>
      <c r="D86" s="63"/>
      <c r="E86" s="70"/>
      <c r="F86" s="4">
        <f t="shared" si="13"/>
        <v>0</v>
      </c>
      <c r="G86" s="149"/>
      <c r="H86" s="51" t="s">
        <v>119</v>
      </c>
      <c r="I86" s="4">
        <v>407545</v>
      </c>
      <c r="J86" s="88" t="s">
        <v>108</v>
      </c>
      <c r="K86" s="96" t="s">
        <v>113</v>
      </c>
      <c r="L86" s="58"/>
      <c r="M86" s="84"/>
      <c r="N86" s="88"/>
      <c r="O86" s="22"/>
    </row>
    <row r="87" s="31" customFormat="1" ht="18" customHeight="1" spans="1:15">
      <c r="A87" s="60"/>
      <c r="B87" s="46">
        <f t="shared" si="14"/>
        <v>0</v>
      </c>
      <c r="C87" s="62"/>
      <c r="D87" s="63"/>
      <c r="E87" s="64"/>
      <c r="F87" s="46">
        <f t="shared" ref="F84:F102" si="15">ROUND(G87/(1+E87)*E87,2)</f>
        <v>0</v>
      </c>
      <c r="G87" s="149"/>
      <c r="H87" s="51" t="s">
        <v>119</v>
      </c>
      <c r="I87" s="4">
        <v>2552</v>
      </c>
      <c r="J87" s="88" t="s">
        <v>105</v>
      </c>
      <c r="K87" s="13" t="s">
        <v>114</v>
      </c>
      <c r="L87" s="58"/>
      <c r="M87" s="84"/>
      <c r="N87" s="88"/>
      <c r="O87" s="22"/>
    </row>
    <row r="88" s="31" customFormat="1" ht="18" customHeight="1" spans="1:15">
      <c r="A88" s="60"/>
      <c r="B88" s="46">
        <f t="shared" si="14"/>
        <v>0</v>
      </c>
      <c r="C88" s="62"/>
      <c r="D88" s="63"/>
      <c r="E88" s="64"/>
      <c r="F88" s="46">
        <f t="shared" si="15"/>
        <v>0</v>
      </c>
      <c r="G88" s="149"/>
      <c r="H88" s="51" t="s">
        <v>120</v>
      </c>
      <c r="I88" s="4">
        <v>-412560</v>
      </c>
      <c r="J88" s="84" t="s">
        <v>111</v>
      </c>
      <c r="K88" s="96" t="s">
        <v>121</v>
      </c>
      <c r="L88" s="58"/>
      <c r="M88" s="84"/>
      <c r="N88" s="88"/>
      <c r="O88" s="22"/>
    </row>
    <row r="89" s="31" customFormat="1" ht="18" customHeight="1" spans="1:15">
      <c r="A89" s="60"/>
      <c r="B89" s="46">
        <f t="shared" si="14"/>
        <v>0</v>
      </c>
      <c r="C89" s="62"/>
      <c r="D89" s="63"/>
      <c r="E89" s="64"/>
      <c r="F89" s="46">
        <f t="shared" si="15"/>
        <v>0</v>
      </c>
      <c r="G89" s="149"/>
      <c r="H89" s="51" t="s">
        <v>122</v>
      </c>
      <c r="I89" s="4">
        <v>650</v>
      </c>
      <c r="J89" s="84" t="s">
        <v>105</v>
      </c>
      <c r="K89" s="96" t="s">
        <v>123</v>
      </c>
      <c r="L89" s="58"/>
      <c r="M89" s="84"/>
      <c r="N89" s="88"/>
      <c r="O89" s="22"/>
    </row>
    <row r="90" s="31" customFormat="1" ht="18" customHeight="1" spans="1:15">
      <c r="A90" s="60"/>
      <c r="B90" s="46">
        <f t="shared" si="14"/>
        <v>0</v>
      </c>
      <c r="C90" s="62"/>
      <c r="D90" s="63"/>
      <c r="E90" s="64"/>
      <c r="F90" s="46">
        <f t="shared" si="15"/>
        <v>0</v>
      </c>
      <c r="G90" s="149"/>
      <c r="H90" s="51" t="s">
        <v>122</v>
      </c>
      <c r="I90" s="4">
        <v>20000</v>
      </c>
      <c r="J90" s="84" t="s">
        <v>124</v>
      </c>
      <c r="K90" s="96" t="s">
        <v>125</v>
      </c>
      <c r="L90" s="58"/>
      <c r="M90" s="84"/>
      <c r="N90" s="88"/>
      <c r="O90" s="22"/>
    </row>
    <row r="91" s="31" customFormat="1" ht="18" customHeight="1" spans="1:15">
      <c r="A91" s="60"/>
      <c r="B91" s="46">
        <f t="shared" si="14"/>
        <v>0</v>
      </c>
      <c r="C91" s="62"/>
      <c r="D91" s="63"/>
      <c r="E91" s="64"/>
      <c r="F91" s="46">
        <f t="shared" si="15"/>
        <v>0</v>
      </c>
      <c r="G91" s="149"/>
      <c r="H91" s="51" t="s">
        <v>122</v>
      </c>
      <c r="I91" s="4">
        <v>421421</v>
      </c>
      <c r="J91" s="84" t="s">
        <v>108</v>
      </c>
      <c r="K91" s="96" t="s">
        <v>113</v>
      </c>
      <c r="L91" s="58"/>
      <c r="M91" s="84"/>
      <c r="N91" s="88"/>
      <c r="O91" s="22"/>
    </row>
    <row r="92" s="31" customFormat="1" ht="18" customHeight="1" spans="1:15">
      <c r="A92" s="60"/>
      <c r="B92" s="46">
        <f t="shared" si="14"/>
        <v>0</v>
      </c>
      <c r="C92" s="62"/>
      <c r="D92" s="63"/>
      <c r="E92" s="64"/>
      <c r="F92" s="46">
        <f t="shared" si="15"/>
        <v>0</v>
      </c>
      <c r="G92" s="149"/>
      <c r="H92" s="51" t="s">
        <v>122</v>
      </c>
      <c r="I92" s="4">
        <v>1701</v>
      </c>
      <c r="J92" s="84" t="s">
        <v>105</v>
      </c>
      <c r="K92" s="96" t="s">
        <v>114</v>
      </c>
      <c r="L92" s="58"/>
      <c r="M92" s="84"/>
      <c r="N92" s="88"/>
      <c r="O92" s="22"/>
    </row>
    <row r="93" s="31" customFormat="1" ht="18" customHeight="1" spans="1:15">
      <c r="A93" s="60"/>
      <c r="B93" s="46">
        <f t="shared" si="14"/>
        <v>0</v>
      </c>
      <c r="C93" s="62"/>
      <c r="D93" s="63"/>
      <c r="E93" s="64"/>
      <c r="F93" s="46">
        <f t="shared" si="15"/>
        <v>0</v>
      </c>
      <c r="G93" s="149"/>
      <c r="H93" s="107" t="s">
        <v>122</v>
      </c>
      <c r="I93" s="159">
        <v>-127613.44</v>
      </c>
      <c r="J93" s="133" t="s">
        <v>126</v>
      </c>
      <c r="K93" s="134" t="s">
        <v>127</v>
      </c>
      <c r="L93" s="58"/>
      <c r="M93" s="84"/>
      <c r="N93" s="88"/>
      <c r="O93" s="22"/>
    </row>
    <row r="94" s="31" customFormat="1" ht="18" customHeight="1" spans="1:15">
      <c r="A94" s="60"/>
      <c r="B94" s="46">
        <f t="shared" si="14"/>
        <v>0</v>
      </c>
      <c r="C94" s="62"/>
      <c r="D94" s="63"/>
      <c r="E94" s="64"/>
      <c r="F94" s="46">
        <f t="shared" si="15"/>
        <v>0</v>
      </c>
      <c r="G94" s="149"/>
      <c r="H94" s="107" t="s">
        <v>122</v>
      </c>
      <c r="I94" s="158">
        <v>127613.44</v>
      </c>
      <c r="J94" s="135" t="s">
        <v>105</v>
      </c>
      <c r="K94" s="126" t="s">
        <v>128</v>
      </c>
      <c r="L94" s="58"/>
      <c r="M94" s="84"/>
      <c r="N94" s="88"/>
      <c r="O94" s="22"/>
    </row>
    <row r="95" s="31" customFormat="1" ht="18" customHeight="1" spans="1:15">
      <c r="A95" s="60"/>
      <c r="B95" s="46">
        <f t="shared" si="14"/>
        <v>0</v>
      </c>
      <c r="C95" s="62"/>
      <c r="D95" s="63"/>
      <c r="E95" s="64"/>
      <c r="F95" s="46">
        <f t="shared" si="15"/>
        <v>0</v>
      </c>
      <c r="G95" s="149"/>
      <c r="H95" s="51"/>
      <c r="I95" s="4">
        <v>1751</v>
      </c>
      <c r="J95" s="84" t="s">
        <v>105</v>
      </c>
      <c r="K95" s="13" t="s">
        <v>114</v>
      </c>
      <c r="L95" s="22" t="s">
        <v>129</v>
      </c>
      <c r="M95" s="88"/>
      <c r="N95" s="88"/>
      <c r="O95" s="22"/>
    </row>
    <row r="96" s="31" customFormat="1" ht="18" customHeight="1" spans="1:15">
      <c r="A96" s="60"/>
      <c r="B96" s="46">
        <f t="shared" si="14"/>
        <v>0</v>
      </c>
      <c r="C96" s="62"/>
      <c r="D96" s="63"/>
      <c r="E96" s="64"/>
      <c r="F96" s="46">
        <f t="shared" si="15"/>
        <v>0</v>
      </c>
      <c r="G96" s="149"/>
      <c r="H96" s="51"/>
      <c r="I96" s="4">
        <v>20700</v>
      </c>
      <c r="J96" s="84" t="s">
        <v>124</v>
      </c>
      <c r="K96" s="13" t="s">
        <v>130</v>
      </c>
      <c r="L96" s="22"/>
      <c r="M96" s="88"/>
      <c r="N96" s="88"/>
      <c r="O96" s="22"/>
    </row>
    <row r="97" s="31" customFormat="1" ht="18" customHeight="1" spans="1:15">
      <c r="A97" s="60"/>
      <c r="B97" s="46">
        <f t="shared" si="14"/>
        <v>0</v>
      </c>
      <c r="C97" s="62"/>
      <c r="D97" s="63"/>
      <c r="E97" s="64"/>
      <c r="F97" s="46">
        <f t="shared" si="15"/>
        <v>0</v>
      </c>
      <c r="G97" s="149"/>
      <c r="H97" s="51"/>
      <c r="I97" s="4">
        <v>10000</v>
      </c>
      <c r="J97" s="84" t="s">
        <v>108</v>
      </c>
      <c r="K97" s="13" t="s">
        <v>125</v>
      </c>
      <c r="L97" s="22"/>
      <c r="M97" s="88"/>
      <c r="N97" s="88"/>
      <c r="O97" s="22"/>
    </row>
    <row r="98" s="31" customFormat="1" ht="18" customHeight="1" spans="1:15">
      <c r="A98" s="60"/>
      <c r="B98" s="46">
        <f t="shared" si="14"/>
        <v>0</v>
      </c>
      <c r="C98" s="62"/>
      <c r="D98" s="63"/>
      <c r="E98" s="64"/>
      <c r="F98" s="46">
        <f t="shared" si="15"/>
        <v>0</v>
      </c>
      <c r="G98" s="149"/>
      <c r="H98" s="51"/>
      <c r="I98" s="4">
        <v>500</v>
      </c>
      <c r="J98" s="84" t="s">
        <v>105</v>
      </c>
      <c r="K98" s="13" t="s">
        <v>131</v>
      </c>
      <c r="L98" s="22"/>
      <c r="M98" s="88"/>
      <c r="N98" s="88"/>
      <c r="O98" s="22"/>
    </row>
    <row r="99" s="31" customFormat="1" ht="18" customHeight="1" spans="1:15">
      <c r="A99" s="60"/>
      <c r="B99" s="46">
        <f t="shared" si="14"/>
        <v>0</v>
      </c>
      <c r="C99" s="62"/>
      <c r="D99" s="63"/>
      <c r="E99" s="64"/>
      <c r="F99" s="46">
        <f t="shared" si="15"/>
        <v>0</v>
      </c>
      <c r="G99" s="149"/>
      <c r="H99" s="51"/>
      <c r="I99" s="4">
        <v>846</v>
      </c>
      <c r="J99" s="84" t="s">
        <v>105</v>
      </c>
      <c r="K99" s="13" t="s">
        <v>117</v>
      </c>
      <c r="L99" s="22"/>
      <c r="M99" s="88"/>
      <c r="N99" s="88"/>
      <c r="O99" s="22"/>
    </row>
    <row r="100" s="31" customFormat="1" ht="18" customHeight="1" spans="1:15">
      <c r="A100" s="60"/>
      <c r="B100" s="46">
        <f t="shared" si="14"/>
        <v>0</v>
      </c>
      <c r="C100" s="62"/>
      <c r="D100" s="63"/>
      <c r="E100" s="64"/>
      <c r="F100" s="46">
        <f t="shared" si="15"/>
        <v>0</v>
      </c>
      <c r="G100" s="149"/>
      <c r="H100" s="51"/>
      <c r="I100" s="4">
        <v>550</v>
      </c>
      <c r="J100" s="84" t="s">
        <v>105</v>
      </c>
      <c r="K100" s="13" t="s">
        <v>131</v>
      </c>
      <c r="L100" s="22"/>
      <c r="M100" s="88"/>
      <c r="N100" s="88"/>
      <c r="O100" s="22"/>
    </row>
    <row r="101" s="31" customFormat="1" ht="18" customHeight="1" spans="1:15">
      <c r="A101" s="60"/>
      <c r="B101" s="46">
        <f t="shared" si="14"/>
        <v>0</v>
      </c>
      <c r="C101" s="62"/>
      <c r="D101" s="63"/>
      <c r="E101" s="64"/>
      <c r="F101" s="46">
        <f t="shared" si="15"/>
        <v>0</v>
      </c>
      <c r="G101" s="149"/>
      <c r="H101" s="51"/>
      <c r="I101" s="4">
        <v>6597</v>
      </c>
      <c r="J101" s="84" t="s">
        <v>105</v>
      </c>
      <c r="K101" s="13" t="s">
        <v>117</v>
      </c>
      <c r="L101" s="22"/>
      <c r="M101" s="88"/>
      <c r="N101" s="88"/>
      <c r="O101" s="22"/>
    </row>
    <row r="102" s="31" customFormat="1" ht="18" customHeight="1" spans="1:17">
      <c r="A102" s="60"/>
      <c r="B102" s="46">
        <f t="shared" si="14"/>
        <v>181400</v>
      </c>
      <c r="C102" s="62"/>
      <c r="D102" s="63"/>
      <c r="E102" s="64"/>
      <c r="F102" s="46">
        <f t="shared" si="15"/>
        <v>0</v>
      </c>
      <c r="G102" s="149">
        <f>40000+41400+40000+60000</f>
        <v>181400</v>
      </c>
      <c r="H102" s="51"/>
      <c r="I102" s="4">
        <f>G102</f>
        <v>181400</v>
      </c>
      <c r="J102" s="84" t="s">
        <v>105</v>
      </c>
      <c r="K102" s="13" t="s">
        <v>106</v>
      </c>
      <c r="L102" s="22"/>
      <c r="M102" s="88"/>
      <c r="N102" s="88"/>
      <c r="O102" s="22"/>
      <c r="Q102" s="142"/>
    </row>
    <row r="103" ht="18" customHeight="1" spans="1:15">
      <c r="A103" s="57" t="s">
        <v>22</v>
      </c>
      <c r="B103" s="155">
        <f t="shared" ref="B103:G103" si="16">SUM(B19:B102)</f>
        <v>14714269.02</v>
      </c>
      <c r="C103" s="57"/>
      <c r="D103" s="109"/>
      <c r="E103" s="109"/>
      <c r="F103" s="5">
        <f t="shared" si="16"/>
        <v>1172072.64</v>
      </c>
      <c r="G103" s="156">
        <f t="shared" si="16"/>
        <v>15886341.66</v>
      </c>
      <c r="H103" s="112"/>
      <c r="I103" s="150">
        <f>SUM(I19:I102)</f>
        <v>15580666.6033653</v>
      </c>
      <c r="J103" s="138"/>
      <c r="K103" s="109"/>
      <c r="L103" s="58"/>
      <c r="M103" s="84"/>
      <c r="N103" s="84"/>
      <c r="O103" s="58"/>
    </row>
    <row r="104" ht="18" customHeight="1" spans="1:14">
      <c r="A104" s="113" t="s">
        <v>132</v>
      </c>
      <c r="B104" s="140">
        <f>B16-B103</f>
        <v>-13284.7162633985</v>
      </c>
      <c r="C104" s="113"/>
      <c r="D104" s="114"/>
      <c r="E104" s="114"/>
      <c r="F104" s="140"/>
      <c r="G104" s="140">
        <f>G16-G103</f>
        <v>183658.339999998</v>
      </c>
      <c r="H104" s="50" t="s">
        <v>133</v>
      </c>
      <c r="I104" s="150">
        <f>I16-I103</f>
        <v>489333.396634655</v>
      </c>
      <c r="J104" s="139"/>
      <c r="K104" s="160"/>
      <c r="M104" s="139"/>
      <c r="N104" s="139"/>
    </row>
    <row r="105" ht="18" customHeight="1" spans="1:3">
      <c r="A105" s="34" t="s">
        <v>134</v>
      </c>
      <c r="C105" s="34"/>
    </row>
    <row r="106" ht="18" customHeight="1" spans="1:15">
      <c r="A106" s="50" t="s">
        <v>135</v>
      </c>
      <c r="B106" s="2" t="s">
        <v>136</v>
      </c>
      <c r="C106" s="58"/>
      <c r="D106" s="50" t="s">
        <v>135</v>
      </c>
      <c r="E106" s="49" t="s">
        <v>16</v>
      </c>
      <c r="F106" s="2" t="s">
        <v>136</v>
      </c>
      <c r="G106" s="2" t="s">
        <v>137</v>
      </c>
      <c r="H106" s="2" t="s">
        <v>138</v>
      </c>
      <c r="I106" s="2" t="s">
        <v>139</v>
      </c>
      <c r="K106" s="2" t="s">
        <v>140</v>
      </c>
      <c r="L106" s="2" t="s">
        <v>141</v>
      </c>
      <c r="M106" s="2" t="s">
        <v>142</v>
      </c>
      <c r="N106" s="2" t="s">
        <v>143</v>
      </c>
      <c r="O106" s="2" t="s">
        <v>144</v>
      </c>
    </row>
    <row r="107" ht="17" customHeight="1" spans="1:17">
      <c r="A107" s="58" t="s">
        <v>145</v>
      </c>
      <c r="B107" s="46">
        <f>(B16-B103)*0.25</f>
        <v>-3321.17906584963</v>
      </c>
      <c r="C107" s="58"/>
      <c r="D107" s="40" t="s">
        <v>146</v>
      </c>
      <c r="E107" s="84" t="s">
        <v>147</v>
      </c>
      <c r="F107" s="3">
        <f>F16-F103</f>
        <v>-97076.62981133</v>
      </c>
      <c r="G107" s="3">
        <f>F7-F22</f>
        <v>5505.87108108109</v>
      </c>
      <c r="H107" s="3">
        <v>0</v>
      </c>
      <c r="I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Q107" s="30" t="s">
        <v>32</v>
      </c>
    </row>
    <row r="108" ht="18" customHeight="1" spans="1:15">
      <c r="A108" s="58" t="s">
        <v>148</v>
      </c>
      <c r="B108" s="157" t="s">
        <v>149</v>
      </c>
      <c r="C108" s="58"/>
      <c r="D108" s="117" t="s">
        <v>150</v>
      </c>
      <c r="E108" s="43">
        <v>0.05</v>
      </c>
      <c r="F108" s="4">
        <f>F107*E108</f>
        <v>-4853.8314905665</v>
      </c>
      <c r="G108" s="4">
        <f>G107*E108</f>
        <v>275.293554054054</v>
      </c>
      <c r="H108" s="4">
        <v>0</v>
      </c>
      <c r="I108" s="4">
        <v>0</v>
      </c>
      <c r="K108" s="4">
        <f>K107*E108</f>
        <v>0</v>
      </c>
      <c r="L108" s="4">
        <v>0</v>
      </c>
      <c r="M108" s="4">
        <f>M107*E108</f>
        <v>0</v>
      </c>
      <c r="N108" s="4">
        <v>0</v>
      </c>
      <c r="O108" s="4">
        <v>0</v>
      </c>
    </row>
    <row r="109" ht="18" customHeight="1" spans="1:15">
      <c r="A109" s="58" t="s">
        <v>151</v>
      </c>
      <c r="B109" s="157"/>
      <c r="C109" s="58"/>
      <c r="D109" s="117" t="s">
        <v>152</v>
      </c>
      <c r="E109" s="43">
        <v>0.03</v>
      </c>
      <c r="F109" s="4">
        <f>F107*E109</f>
        <v>-2912.2988943399</v>
      </c>
      <c r="G109" s="4">
        <f>G107*E109</f>
        <v>165.176132432433</v>
      </c>
      <c r="H109" s="4">
        <v>0</v>
      </c>
      <c r="I109" s="4">
        <v>0</v>
      </c>
      <c r="K109" s="4">
        <f>K107*E109</f>
        <v>0</v>
      </c>
      <c r="L109" s="4">
        <v>0</v>
      </c>
      <c r="M109" s="4">
        <f>M107*E109</f>
        <v>0</v>
      </c>
      <c r="N109" s="4">
        <v>0</v>
      </c>
      <c r="O109" s="4">
        <v>0</v>
      </c>
    </row>
    <row r="110" ht="18" customHeight="1" spans="1:16">
      <c r="A110" s="58"/>
      <c r="B110" s="4"/>
      <c r="C110" s="58"/>
      <c r="D110" s="117" t="s">
        <v>153</v>
      </c>
      <c r="E110" s="43">
        <v>0.02</v>
      </c>
      <c r="F110" s="4">
        <f>F107*E110</f>
        <v>-1941.5325962266</v>
      </c>
      <c r="G110" s="4">
        <f>G107*E110</f>
        <v>110.117421621622</v>
      </c>
      <c r="H110" s="4">
        <v>0</v>
      </c>
      <c r="I110" s="4">
        <v>0</v>
      </c>
      <c r="K110" s="4">
        <f>K107*E110</f>
        <v>0</v>
      </c>
      <c r="L110" s="4">
        <v>0</v>
      </c>
      <c r="M110" s="4">
        <f>M107*E110</f>
        <v>0</v>
      </c>
      <c r="N110" s="4">
        <v>0</v>
      </c>
      <c r="O110" s="4">
        <v>0</v>
      </c>
      <c r="P110" s="58"/>
    </row>
    <row r="111" ht="18" customHeight="1" spans="1:15">
      <c r="A111" s="56" t="s">
        <v>154</v>
      </c>
      <c r="B111" s="155">
        <f t="shared" ref="B111:H111" si="17">SUM(B107:B110)</f>
        <v>-3321.17906584963</v>
      </c>
      <c r="C111" s="58"/>
      <c r="D111" s="56" t="s">
        <v>154</v>
      </c>
      <c r="E111" s="56"/>
      <c r="F111" s="5">
        <f t="shared" si="17"/>
        <v>-106784.292792463</v>
      </c>
      <c r="G111" s="5">
        <f t="shared" si="17"/>
        <v>6056.4581891892</v>
      </c>
      <c r="H111" s="5">
        <f t="shared" si="17"/>
        <v>0</v>
      </c>
      <c r="I111" s="5">
        <v>0</v>
      </c>
      <c r="K111" s="5">
        <f>SUM(K107:K110)</f>
        <v>0</v>
      </c>
      <c r="L111" s="3">
        <v>0</v>
      </c>
      <c r="M111" s="5">
        <f>SUM(M107:M110)</f>
        <v>0</v>
      </c>
      <c r="N111" s="5">
        <v>0</v>
      </c>
      <c r="O111" s="5">
        <v>0</v>
      </c>
    </row>
    <row r="112" ht="18" customHeight="1" spans="3:15">
      <c r="C112" s="34"/>
      <c r="D112" s="42" t="s">
        <v>148</v>
      </c>
      <c r="E112" s="96">
        <v>0.0003</v>
      </c>
      <c r="F112" s="4">
        <f>G16*E112</f>
        <v>4821</v>
      </c>
      <c r="G112" s="4" t="s">
        <v>155</v>
      </c>
      <c r="H112" s="4">
        <f>G8*E112</f>
        <v>300</v>
      </c>
      <c r="I112" s="4">
        <f>G9*E112</f>
        <v>621</v>
      </c>
      <c r="K112" s="4">
        <f>G10*E112</f>
        <v>600</v>
      </c>
      <c r="L112" s="4">
        <f>G11*E112</f>
        <v>900</v>
      </c>
      <c r="M112" s="4">
        <f>G12*E112</f>
        <v>600</v>
      </c>
      <c r="N112" s="4">
        <f>G13*E112</f>
        <v>900</v>
      </c>
      <c r="O112" s="4">
        <f>G14*E112</f>
        <v>600</v>
      </c>
    </row>
    <row r="113" ht="18" customHeight="1" spans="3:15">
      <c r="C113" s="34"/>
      <c r="D113" s="42" t="s">
        <v>151</v>
      </c>
      <c r="E113" s="96">
        <v>0.0006</v>
      </c>
      <c r="F113" s="4">
        <f>B16*E113</f>
        <v>8820.59058224196</v>
      </c>
      <c r="G113" s="4">
        <f>B7*E113</f>
        <v>540.540540540541</v>
      </c>
      <c r="H113" s="4">
        <f>B8*E113</f>
        <v>545.454545454545</v>
      </c>
      <c r="I113" s="4">
        <f>B9*E113</f>
        <v>1129.09090909091</v>
      </c>
      <c r="K113" s="4">
        <f>B10*E113</f>
        <v>1100.91743119266</v>
      </c>
      <c r="L113" s="4">
        <f>B11*E113</f>
        <v>1651.37614678899</v>
      </c>
      <c r="M113" s="4">
        <f>B12*E113</f>
        <v>1100.91743119266</v>
      </c>
      <c r="N113" s="4">
        <f>B13*E113</f>
        <v>1651.37614678899</v>
      </c>
      <c r="O113" s="4">
        <f>B14*E113</f>
        <v>1100.91743119266</v>
      </c>
    </row>
    <row r="114" ht="18" customHeight="1" spans="3:15">
      <c r="C114" s="34"/>
      <c r="D114" s="57" t="s">
        <v>22</v>
      </c>
      <c r="E114" s="57"/>
      <c r="F114" s="150">
        <f>F111+F112+F113</f>
        <v>-93142.702210221</v>
      </c>
      <c r="G114" s="150">
        <f>G111+G113</f>
        <v>6596.99872972974</v>
      </c>
      <c r="H114" s="150">
        <f t="shared" ref="H114:K114" si="18">SUM(H112:H113)</f>
        <v>845.454545454545</v>
      </c>
      <c r="I114" s="150">
        <f t="shared" si="18"/>
        <v>1750.09090909091</v>
      </c>
      <c r="K114" s="161">
        <f t="shared" si="18"/>
        <v>1700.91743119266</v>
      </c>
      <c r="L114" s="161">
        <f t="shared" ref="L114:O114" si="19">L112+L113</f>
        <v>2551.37614678899</v>
      </c>
      <c r="M114" s="161">
        <f>M111+M112+M113</f>
        <v>1700.91743119266</v>
      </c>
      <c r="N114" s="161">
        <f t="shared" si="19"/>
        <v>2551.37614678899</v>
      </c>
      <c r="O114" s="161">
        <f t="shared" si="19"/>
        <v>1700.91743119266</v>
      </c>
    </row>
    <row r="115" ht="18" customHeight="1" spans="3:15">
      <c r="C115" s="34"/>
      <c r="D115" s="50" t="s">
        <v>109</v>
      </c>
      <c r="E115" s="49">
        <v>0.25</v>
      </c>
      <c r="F115" s="2"/>
      <c r="G115" s="2"/>
      <c r="H115" s="2"/>
      <c r="I115" s="2"/>
      <c r="K115" s="58"/>
      <c r="L115" s="58"/>
      <c r="M115" s="58"/>
      <c r="N115" s="58"/>
      <c r="O115" s="58">
        <f>B104*E115</f>
        <v>-3321.17906584963</v>
      </c>
    </row>
    <row r="116" ht="18" customHeight="1" spans="3:3">
      <c r="C116" s="34"/>
    </row>
    <row r="117" ht="18" customHeight="1" spans="3:3">
      <c r="C117" s="34"/>
    </row>
    <row r="118" ht="39" customHeight="1" spans="3:7">
      <c r="C118" s="34"/>
      <c r="D118" s="44" t="s">
        <v>156</v>
      </c>
      <c r="E118" s="118" t="s">
        <v>135</v>
      </c>
      <c r="F118" s="49" t="s">
        <v>16</v>
      </c>
      <c r="G118" s="2" t="s">
        <v>157</v>
      </c>
    </row>
    <row r="119" ht="39" customHeight="1" spans="3:7">
      <c r="C119" s="34"/>
      <c r="D119" s="44"/>
      <c r="E119" s="143" t="s">
        <v>146</v>
      </c>
      <c r="F119" s="84" t="s">
        <v>147</v>
      </c>
      <c r="G119" s="3">
        <v>116012.214245204</v>
      </c>
    </row>
    <row r="120" ht="39" customHeight="1" spans="3:11">
      <c r="C120" s="34"/>
      <c r="D120" s="44"/>
      <c r="E120" s="144" t="s">
        <v>150</v>
      </c>
      <c r="F120" s="43">
        <v>0.05</v>
      </c>
      <c r="G120" s="4">
        <v>5800.61071226021</v>
      </c>
      <c r="K120" s="147"/>
    </row>
    <row r="121" ht="39" customHeight="1" spans="3:7">
      <c r="C121" s="34"/>
      <c r="D121" s="44"/>
      <c r="E121" s="144" t="s">
        <v>152</v>
      </c>
      <c r="F121" s="43">
        <v>0.03</v>
      </c>
      <c r="G121" s="4">
        <v>3480.36642735613</v>
      </c>
    </row>
    <row r="122" ht="39" customHeight="1" spans="3:7">
      <c r="C122" s="34"/>
      <c r="D122" s="44"/>
      <c r="E122" s="144" t="s">
        <v>153</v>
      </c>
      <c r="F122" s="43">
        <v>0.02</v>
      </c>
      <c r="G122" s="4">
        <v>2320.24428490409</v>
      </c>
    </row>
    <row r="123" ht="39" customHeight="1" spans="3:7">
      <c r="C123" s="34"/>
      <c r="D123" s="44"/>
      <c r="E123" s="145" t="s">
        <v>154</v>
      </c>
      <c r="F123" s="56"/>
      <c r="G123" s="146">
        <v>127613.435669725</v>
      </c>
    </row>
    <row r="124" spans="3:3">
      <c r="C124" s="34"/>
    </row>
    <row r="125" spans="3:3">
      <c r="C125" s="34"/>
    </row>
    <row r="126" spans="3:3">
      <c r="C126" s="34"/>
    </row>
    <row r="127" spans="3:3">
      <c r="C127" s="34"/>
    </row>
    <row r="128" spans="3:3">
      <c r="C128" s="34"/>
    </row>
    <row r="129" spans="3:3">
      <c r="C129" s="34"/>
    </row>
    <row r="130" spans="3:3">
      <c r="C130" s="34"/>
    </row>
    <row r="131" spans="3:3">
      <c r="C131" s="34"/>
    </row>
    <row r="132" spans="3:3">
      <c r="C132" s="34"/>
    </row>
    <row r="133" spans="3:3">
      <c r="C133" s="34"/>
    </row>
    <row r="134" spans="3:3">
      <c r="C134" s="34"/>
    </row>
  </sheetData>
  <protectedRanges>
    <protectedRange password="CF54" sqref="K32:L32" name="区域1"/>
  </protectedRanges>
  <mergeCells count="10">
    <mergeCell ref="A1:J1"/>
    <mergeCell ref="H2:J2"/>
    <mergeCell ref="C5:D5"/>
    <mergeCell ref="E5:F5"/>
    <mergeCell ref="H5:J5"/>
    <mergeCell ref="A5:A6"/>
    <mergeCell ref="B5:B6"/>
    <mergeCell ref="D118:D123"/>
    <mergeCell ref="G5:G6"/>
    <mergeCell ref="O53:O54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abSelected="1" topLeftCell="A106" workbookViewId="0">
      <selection activeCell="G20" sqref="G20:G21"/>
    </sheetView>
  </sheetViews>
  <sheetFormatPr defaultColWidth="9" defaultRowHeight="11.25"/>
  <cols>
    <col min="1" max="1" width="10.75" style="34" customWidth="1"/>
    <col min="2" max="2" width="20" style="35" customWidth="1"/>
    <col min="3" max="3" width="6" style="36" customWidth="1"/>
    <col min="4" max="4" width="13.375" style="36" customWidth="1"/>
    <col min="5" max="5" width="6" style="36" customWidth="1"/>
    <col min="6" max="6" width="13.125" style="35" customWidth="1"/>
    <col min="7" max="7" width="16.75" style="35" customWidth="1"/>
    <col min="8" max="8" width="9.875" style="36" customWidth="1"/>
    <col min="9" max="9" width="21.25" style="35" customWidth="1"/>
    <col min="10" max="10" width="6.125" style="37" customWidth="1"/>
    <col min="11" max="11" width="31.5" style="30" customWidth="1"/>
    <col min="12" max="12" width="12.75" style="30" customWidth="1"/>
    <col min="13" max="13" width="20.75" style="30" customWidth="1"/>
    <col min="14" max="14" width="12.875" style="30" customWidth="1"/>
    <col min="15" max="15" width="17.375" style="30" customWidth="1"/>
    <col min="16" max="16" width="9.625" style="30"/>
    <col min="17" max="16384" width="9" style="30"/>
  </cols>
  <sheetData>
    <row r="1" s="30" customFormat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s="30" customFormat="1" ht="18" customHeight="1" spans="1:12">
      <c r="A2" s="40" t="s">
        <v>1</v>
      </c>
      <c r="B2" s="41">
        <v>42887</v>
      </c>
      <c r="C2" s="42" t="s">
        <v>2</v>
      </c>
      <c r="D2" s="42">
        <v>11243891.87</v>
      </c>
      <c r="E2" s="43" t="s">
        <v>3</v>
      </c>
      <c r="F2" s="42" t="s">
        <v>4</v>
      </c>
      <c r="G2" s="44" t="s">
        <v>5</v>
      </c>
      <c r="H2" s="45" t="s">
        <v>6</v>
      </c>
      <c r="I2" s="81"/>
      <c r="J2" s="82"/>
      <c r="K2" s="48"/>
      <c r="L2" s="48"/>
    </row>
    <row r="3" s="30" customFormat="1" ht="18" customHeight="1" spans="1:12">
      <c r="A3" s="40" t="s">
        <v>7</v>
      </c>
      <c r="B3" s="46"/>
      <c r="C3" s="42" t="s">
        <v>8</v>
      </c>
      <c r="D3" s="47">
        <v>19240000</v>
      </c>
      <c r="E3" s="36"/>
      <c r="F3" s="35"/>
      <c r="G3" s="35"/>
      <c r="H3" s="48"/>
      <c r="I3" s="83"/>
      <c r="J3" s="48"/>
      <c r="K3" s="48"/>
      <c r="L3" s="48"/>
    </row>
    <row r="4" s="30" customFormat="1" ht="18" customHeight="1" spans="1:12">
      <c r="A4" s="34" t="s">
        <v>9</v>
      </c>
      <c r="B4" s="35"/>
      <c r="C4" s="36"/>
      <c r="D4" s="36"/>
      <c r="E4" s="36"/>
      <c r="F4" s="35"/>
      <c r="G4" s="35"/>
      <c r="H4" s="48"/>
      <c r="I4" s="83"/>
      <c r="J4" s="48"/>
      <c r="K4" s="48"/>
      <c r="L4" s="48"/>
    </row>
    <row r="5" s="30" customFormat="1" ht="18" customHeight="1" spans="1:10">
      <c r="A5" s="49" t="s">
        <v>10</v>
      </c>
      <c r="B5" s="2" t="s">
        <v>11</v>
      </c>
      <c r="C5" s="49" t="s">
        <v>12</v>
      </c>
      <c r="D5" s="49"/>
      <c r="E5" s="49" t="s">
        <v>13</v>
      </c>
      <c r="F5" s="2"/>
      <c r="G5" s="2" t="s">
        <v>14</v>
      </c>
      <c r="H5" s="50" t="s">
        <v>15</v>
      </c>
      <c r="I5" s="2"/>
      <c r="J5" s="50"/>
    </row>
    <row r="6" s="30" customFormat="1" ht="18" customHeight="1" spans="1:10">
      <c r="A6" s="49"/>
      <c r="B6" s="2"/>
      <c r="C6" s="49" t="s">
        <v>16</v>
      </c>
      <c r="D6" s="49" t="s">
        <v>17</v>
      </c>
      <c r="E6" s="49" t="s">
        <v>16</v>
      </c>
      <c r="F6" s="2" t="s">
        <v>17</v>
      </c>
      <c r="G6" s="2"/>
      <c r="H6" s="50" t="s">
        <v>18</v>
      </c>
      <c r="I6" s="2" t="s">
        <v>19</v>
      </c>
      <c r="J6" s="50" t="s">
        <v>20</v>
      </c>
    </row>
    <row r="7" s="30" customFormat="1" ht="18" customHeight="1" spans="1:13">
      <c r="A7" s="51">
        <v>43133</v>
      </c>
      <c r="B7" s="42">
        <f t="shared" ref="B7:B14" si="0">G7/(1+C7+E7)</f>
        <v>900900.900900901</v>
      </c>
      <c r="C7" s="52">
        <v>0.02</v>
      </c>
      <c r="D7" s="53">
        <f t="shared" ref="D7:D14" si="1">G7/(1+E7+C7)*C7</f>
        <v>18018.018018018</v>
      </c>
      <c r="E7" s="52">
        <v>0.09</v>
      </c>
      <c r="F7" s="42">
        <f t="shared" ref="F7:F14" si="2">G7/(1+C7+E7)*E7</f>
        <v>81081.0810810811</v>
      </c>
      <c r="G7" s="54">
        <v>1000000</v>
      </c>
      <c r="H7" s="51">
        <v>43142</v>
      </c>
      <c r="I7" s="42">
        <v>1000000</v>
      </c>
      <c r="J7" s="84" t="s">
        <v>21</v>
      </c>
      <c r="K7" s="30" t="s">
        <v>77</v>
      </c>
      <c r="L7" s="30" t="s">
        <v>158</v>
      </c>
      <c r="M7" s="30">
        <v>50000</v>
      </c>
    </row>
    <row r="8" s="30" customFormat="1" ht="18" customHeight="1" spans="1:10">
      <c r="A8" s="51">
        <v>43405</v>
      </c>
      <c r="B8" s="42">
        <f t="shared" si="0"/>
        <v>909090.909090909</v>
      </c>
      <c r="C8" s="52">
        <v>0.02</v>
      </c>
      <c r="D8" s="53">
        <f t="shared" si="1"/>
        <v>18181.8181818182</v>
      </c>
      <c r="E8" s="52">
        <v>0.08</v>
      </c>
      <c r="F8" s="42">
        <f t="shared" si="2"/>
        <v>72727.2727272727</v>
      </c>
      <c r="G8" s="54">
        <v>1000000</v>
      </c>
      <c r="H8" s="51">
        <v>43440</v>
      </c>
      <c r="I8" s="42">
        <v>1000000</v>
      </c>
      <c r="J8" s="84" t="s">
        <v>21</v>
      </c>
    </row>
    <row r="9" s="30" customFormat="1" ht="18" customHeight="1" spans="1:13">
      <c r="A9" s="51">
        <v>43486</v>
      </c>
      <c r="B9" s="42">
        <f t="shared" si="0"/>
        <v>1881818.18181818</v>
      </c>
      <c r="C9" s="52">
        <v>0.02</v>
      </c>
      <c r="D9" s="53">
        <f t="shared" si="1"/>
        <v>37636.3636363636</v>
      </c>
      <c r="E9" s="52">
        <v>0.08</v>
      </c>
      <c r="F9" s="42">
        <f t="shared" si="2"/>
        <v>150545.454545455</v>
      </c>
      <c r="G9" s="54">
        <v>2070000</v>
      </c>
      <c r="H9" s="51">
        <v>43495</v>
      </c>
      <c r="I9" s="42">
        <v>2070000</v>
      </c>
      <c r="J9" s="84" t="s">
        <v>21</v>
      </c>
      <c r="K9" s="30" t="s">
        <v>47</v>
      </c>
      <c r="L9" s="30" t="s">
        <v>159</v>
      </c>
      <c r="M9" s="30">
        <v>110000</v>
      </c>
    </row>
    <row r="10" s="30" customFormat="1" ht="18" customHeight="1" spans="1:13">
      <c r="A10" s="51">
        <v>43647</v>
      </c>
      <c r="B10" s="42">
        <f t="shared" si="0"/>
        <v>1834862.3853211</v>
      </c>
      <c r="C10" s="52">
        <v>0.02</v>
      </c>
      <c r="D10" s="53">
        <f t="shared" si="1"/>
        <v>36697.247706422</v>
      </c>
      <c r="E10" s="52">
        <v>0.07</v>
      </c>
      <c r="F10" s="42">
        <f t="shared" si="2"/>
        <v>128440.366972477</v>
      </c>
      <c r="G10" s="54">
        <v>2000000</v>
      </c>
      <c r="H10" s="51">
        <v>43664</v>
      </c>
      <c r="I10" s="42">
        <v>2000000</v>
      </c>
      <c r="J10" s="84" t="s">
        <v>21</v>
      </c>
      <c r="K10" s="30" t="s">
        <v>62</v>
      </c>
      <c r="L10" s="30" t="s">
        <v>160</v>
      </c>
      <c r="M10" s="30">
        <f>G36+G64-I36-I64</f>
        <v>-114000</v>
      </c>
    </row>
    <row r="11" s="30" customFormat="1" ht="18" customHeight="1" spans="1:12">
      <c r="A11" s="51">
        <v>43784</v>
      </c>
      <c r="B11" s="42">
        <f t="shared" si="0"/>
        <v>2752293.57798165</v>
      </c>
      <c r="C11" s="55">
        <v>0.02</v>
      </c>
      <c r="D11" s="53">
        <f t="shared" si="1"/>
        <v>55045.871559633</v>
      </c>
      <c r="E11" s="55">
        <v>0.07</v>
      </c>
      <c r="F11" s="42">
        <f t="shared" si="2"/>
        <v>192660.550458716</v>
      </c>
      <c r="G11" s="54">
        <v>3000000</v>
      </c>
      <c r="H11" s="51">
        <v>43791</v>
      </c>
      <c r="I11" s="42">
        <v>3000000</v>
      </c>
      <c r="J11" s="84" t="s">
        <v>21</v>
      </c>
      <c r="K11" s="30" t="s">
        <v>67</v>
      </c>
      <c r="L11" s="30" t="s">
        <v>161</v>
      </c>
    </row>
    <row r="12" s="30" customFormat="1" ht="18" customHeight="1" spans="1:13">
      <c r="A12" s="51">
        <v>43837</v>
      </c>
      <c r="B12" s="42">
        <f t="shared" si="0"/>
        <v>1834862.3853211</v>
      </c>
      <c r="C12" s="55">
        <v>0.02</v>
      </c>
      <c r="D12" s="53">
        <f t="shared" si="1"/>
        <v>36697.247706422</v>
      </c>
      <c r="E12" s="55">
        <v>0.07</v>
      </c>
      <c r="F12" s="42">
        <f t="shared" si="2"/>
        <v>128440.366972477</v>
      </c>
      <c r="G12" s="54">
        <v>2000000</v>
      </c>
      <c r="H12" s="51">
        <v>43845</v>
      </c>
      <c r="I12" s="42">
        <v>1596000</v>
      </c>
      <c r="J12" s="84" t="s">
        <v>21</v>
      </c>
      <c r="K12" s="30" t="s">
        <v>65</v>
      </c>
      <c r="L12" s="30" t="s">
        <v>162</v>
      </c>
      <c r="M12" s="30">
        <f>4800000-4130000</f>
        <v>670000</v>
      </c>
    </row>
    <row r="13" s="30" customFormat="1" ht="18" customHeight="1" spans="1:10">
      <c r="A13" s="51">
        <v>44114</v>
      </c>
      <c r="B13" s="42">
        <f t="shared" si="0"/>
        <v>2752293.57798165</v>
      </c>
      <c r="C13" s="55">
        <v>0.02</v>
      </c>
      <c r="D13" s="53">
        <f t="shared" si="1"/>
        <v>55045.871559633</v>
      </c>
      <c r="E13" s="55">
        <v>0.07</v>
      </c>
      <c r="F13" s="42">
        <f t="shared" si="2"/>
        <v>192660.550458716</v>
      </c>
      <c r="G13" s="54">
        <v>3000000</v>
      </c>
      <c r="H13" s="51">
        <v>43845</v>
      </c>
      <c r="I13" s="42">
        <v>404000</v>
      </c>
      <c r="J13" s="84" t="s">
        <v>21</v>
      </c>
    </row>
    <row r="14" s="30" customFormat="1" ht="18" customHeight="1" spans="1:10">
      <c r="A14" s="51">
        <v>44221</v>
      </c>
      <c r="B14" s="42">
        <f t="shared" si="0"/>
        <v>1834862.3853211</v>
      </c>
      <c r="C14" s="55">
        <v>0.02</v>
      </c>
      <c r="D14" s="53">
        <f t="shared" si="1"/>
        <v>36697.247706422</v>
      </c>
      <c r="E14" s="55">
        <v>0.07</v>
      </c>
      <c r="F14" s="42">
        <f t="shared" si="2"/>
        <v>128440.366972477</v>
      </c>
      <c r="G14" s="54">
        <v>2000000</v>
      </c>
      <c r="H14" s="51">
        <v>44119</v>
      </c>
      <c r="I14" s="42">
        <v>3000000</v>
      </c>
      <c r="J14" s="84" t="s">
        <v>21</v>
      </c>
    </row>
    <row r="15" s="30" customFormat="1" ht="18" customHeight="1" spans="1:10">
      <c r="A15" s="51"/>
      <c r="B15" s="42"/>
      <c r="C15" s="55"/>
      <c r="D15" s="53"/>
      <c r="E15" s="55"/>
      <c r="F15" s="42"/>
      <c r="G15" s="54"/>
      <c r="H15" s="51">
        <v>44228</v>
      </c>
      <c r="I15" s="42">
        <v>2000000</v>
      </c>
      <c r="J15" s="84" t="s">
        <v>21</v>
      </c>
    </row>
    <row r="16" s="30" customFormat="1" ht="18" customHeight="1" spans="1:10">
      <c r="A16" s="56" t="s">
        <v>22</v>
      </c>
      <c r="B16" s="57">
        <f t="shared" ref="B16:G16" si="3">SUM(B7:B15)</f>
        <v>14700984.3037366</v>
      </c>
      <c r="C16" s="57"/>
      <c r="D16" s="57">
        <f t="shared" si="3"/>
        <v>294019.686074732</v>
      </c>
      <c r="E16" s="57"/>
      <c r="F16" s="57">
        <f t="shared" si="3"/>
        <v>1074996.01018867</v>
      </c>
      <c r="G16" s="57">
        <f t="shared" si="3"/>
        <v>16070000</v>
      </c>
      <c r="H16" s="58"/>
      <c r="I16" s="57">
        <f>SUM(I7:I15)</f>
        <v>16070000</v>
      </c>
      <c r="J16" s="84"/>
    </row>
    <row r="17" s="30" customFormat="1" ht="18" customHeight="1" spans="1:12">
      <c r="A17" s="34" t="s">
        <v>23</v>
      </c>
      <c r="B17" s="35"/>
      <c r="C17" s="36"/>
      <c r="D17" s="36"/>
      <c r="E17" s="36"/>
      <c r="F17" s="35"/>
      <c r="G17" s="35"/>
      <c r="H17" s="36"/>
      <c r="I17" s="35"/>
      <c r="J17" s="85"/>
      <c r="K17" s="36"/>
      <c r="L17" s="86"/>
    </row>
    <row r="18" s="30" customFormat="1" ht="18" customHeight="1" spans="1:15">
      <c r="A18" s="59" t="s">
        <v>24</v>
      </c>
      <c r="B18" s="2" t="s">
        <v>25</v>
      </c>
      <c r="C18" s="49" t="s">
        <v>26</v>
      </c>
      <c r="D18" s="49" t="s">
        <v>27</v>
      </c>
      <c r="E18" s="49" t="s">
        <v>16</v>
      </c>
      <c r="F18" s="2" t="s">
        <v>28</v>
      </c>
      <c r="G18" s="2" t="s">
        <v>14</v>
      </c>
      <c r="H18" s="49" t="s">
        <v>29</v>
      </c>
      <c r="I18" s="2" t="s">
        <v>30</v>
      </c>
      <c r="J18" s="49" t="s">
        <v>20</v>
      </c>
      <c r="K18" s="87" t="s">
        <v>31</v>
      </c>
      <c r="L18" s="50" t="s">
        <v>32</v>
      </c>
      <c r="M18" s="50" t="s">
        <v>33</v>
      </c>
      <c r="N18" s="50" t="s">
        <v>34</v>
      </c>
      <c r="O18" s="50" t="s">
        <v>35</v>
      </c>
    </row>
    <row r="19" s="31" customFormat="1" ht="18" customHeight="1" spans="1:15">
      <c r="A19" s="60"/>
      <c r="B19" s="61">
        <f t="shared" ref="B19:B82" si="4">ROUND(G19/(1+E19),2)</f>
        <v>0</v>
      </c>
      <c r="C19" s="62"/>
      <c r="D19" s="63"/>
      <c r="E19" s="64"/>
      <c r="F19" s="61">
        <f t="shared" ref="F19:F82" si="5">ROUND(G19/(1+E19)*E19,2)</f>
        <v>0</v>
      </c>
      <c r="G19" s="54"/>
      <c r="H19" s="51" t="s">
        <v>36</v>
      </c>
      <c r="I19" s="42">
        <v>470953</v>
      </c>
      <c r="J19" s="84" t="s">
        <v>37</v>
      </c>
      <c r="K19" s="13" t="s">
        <v>38</v>
      </c>
      <c r="L19" s="22"/>
      <c r="M19" s="88"/>
      <c r="N19" s="88"/>
      <c r="O19" s="22" t="s">
        <v>39</v>
      </c>
    </row>
    <row r="20" s="31" customFormat="1" ht="18" customHeight="1" spans="1:15">
      <c r="A20" s="60">
        <v>43149</v>
      </c>
      <c r="B20" s="61">
        <f t="shared" si="4"/>
        <v>218000</v>
      </c>
      <c r="C20" s="62"/>
      <c r="D20" s="63"/>
      <c r="E20" s="64"/>
      <c r="F20" s="61">
        <f t="shared" si="5"/>
        <v>0</v>
      </c>
      <c r="G20" s="54">
        <v>218000</v>
      </c>
      <c r="H20" s="51" t="s">
        <v>36</v>
      </c>
      <c r="I20" s="42">
        <v>218000</v>
      </c>
      <c r="J20" s="84" t="s">
        <v>37</v>
      </c>
      <c r="K20" s="13" t="s">
        <v>40</v>
      </c>
      <c r="L20" s="22" t="s">
        <v>41</v>
      </c>
      <c r="M20" s="88"/>
      <c r="N20" s="88"/>
      <c r="O20" s="22" t="s">
        <v>42</v>
      </c>
    </row>
    <row r="21" s="31" customFormat="1" ht="18" customHeight="1" spans="1:15">
      <c r="A21" s="60">
        <v>43149</v>
      </c>
      <c r="B21" s="61">
        <f t="shared" si="4"/>
        <v>283900</v>
      </c>
      <c r="C21" s="62"/>
      <c r="D21" s="63"/>
      <c r="E21" s="64"/>
      <c r="F21" s="61">
        <f t="shared" si="5"/>
        <v>0</v>
      </c>
      <c r="G21" s="54">
        <v>283900</v>
      </c>
      <c r="H21" s="51" t="s">
        <v>36</v>
      </c>
      <c r="I21" s="42">
        <v>283900</v>
      </c>
      <c r="J21" s="84" t="s">
        <v>37</v>
      </c>
      <c r="K21" s="13" t="s">
        <v>40</v>
      </c>
      <c r="L21" s="22" t="s">
        <v>43</v>
      </c>
      <c r="M21" s="88"/>
      <c r="N21" s="88"/>
      <c r="O21" s="22"/>
    </row>
    <row r="22" s="31" customFormat="1" ht="18" customHeight="1" spans="1:15">
      <c r="A22" s="60">
        <v>43149</v>
      </c>
      <c r="B22" s="61">
        <f t="shared" si="4"/>
        <v>444560.09</v>
      </c>
      <c r="C22" s="62"/>
      <c r="D22" s="63"/>
      <c r="E22" s="64">
        <v>0.17</v>
      </c>
      <c r="F22" s="61">
        <f t="shared" si="5"/>
        <v>75575.21</v>
      </c>
      <c r="G22" s="54">
        <v>520135.3</v>
      </c>
      <c r="H22" s="51" t="s">
        <v>36</v>
      </c>
      <c r="I22" s="42">
        <v>520000</v>
      </c>
      <c r="J22" s="84" t="s">
        <v>21</v>
      </c>
      <c r="K22" s="13" t="s">
        <v>44</v>
      </c>
      <c r="L22" s="22" t="s">
        <v>45</v>
      </c>
      <c r="M22" s="88"/>
      <c r="N22" s="88"/>
      <c r="O22" s="22"/>
    </row>
    <row r="23" s="31" customFormat="1" ht="18" customHeight="1" spans="1:15">
      <c r="A23" s="60"/>
      <c r="B23" s="61">
        <f t="shared" si="4"/>
        <v>0</v>
      </c>
      <c r="C23" s="62"/>
      <c r="D23" s="63"/>
      <c r="E23" s="64"/>
      <c r="F23" s="61">
        <f t="shared" si="5"/>
        <v>0</v>
      </c>
      <c r="G23" s="54"/>
      <c r="H23" s="51" t="s">
        <v>36</v>
      </c>
      <c r="I23" s="42">
        <v>-520000</v>
      </c>
      <c r="J23" s="84" t="s">
        <v>37</v>
      </c>
      <c r="K23" s="13" t="s">
        <v>38</v>
      </c>
      <c r="L23" s="22"/>
      <c r="M23" s="88"/>
      <c r="N23" s="88"/>
      <c r="O23" s="22"/>
    </row>
    <row r="24" s="31" customFormat="1" ht="18" customHeight="1" spans="1:15">
      <c r="A24" s="60"/>
      <c r="B24" s="61">
        <f t="shared" si="4"/>
        <v>0</v>
      </c>
      <c r="C24" s="62"/>
      <c r="D24" s="63"/>
      <c r="E24" s="64"/>
      <c r="F24" s="61">
        <f t="shared" si="5"/>
        <v>0</v>
      </c>
      <c r="G24" s="54"/>
      <c r="H24" s="51" t="s">
        <v>46</v>
      </c>
      <c r="I24" s="42">
        <v>-110000</v>
      </c>
      <c r="J24" s="84" t="s">
        <v>37</v>
      </c>
      <c r="K24" s="13" t="s">
        <v>38</v>
      </c>
      <c r="L24" s="22"/>
      <c r="M24" s="88"/>
      <c r="N24" s="88"/>
      <c r="O24" s="22"/>
    </row>
    <row r="25" s="31" customFormat="1" ht="18" customHeight="1" spans="1:15">
      <c r="A25" s="60"/>
      <c r="B25" s="61">
        <f t="shared" si="4"/>
        <v>0</v>
      </c>
      <c r="C25" s="62"/>
      <c r="D25" s="63"/>
      <c r="E25" s="64"/>
      <c r="F25" s="61">
        <f t="shared" si="5"/>
        <v>0</v>
      </c>
      <c r="G25" s="54"/>
      <c r="H25" s="51" t="s">
        <v>46</v>
      </c>
      <c r="I25" s="42">
        <v>110000</v>
      </c>
      <c r="J25" s="84" t="s">
        <v>21</v>
      </c>
      <c r="K25" s="13" t="s">
        <v>47</v>
      </c>
      <c r="L25" s="22"/>
      <c r="M25" s="88"/>
      <c r="N25" s="88"/>
      <c r="O25" s="22"/>
    </row>
    <row r="26" s="31" customFormat="1" ht="18" customHeight="1" spans="1:15">
      <c r="A26" s="60"/>
      <c r="B26" s="61">
        <f t="shared" si="4"/>
        <v>0</v>
      </c>
      <c r="C26" s="62"/>
      <c r="D26" s="63"/>
      <c r="E26" s="64"/>
      <c r="F26" s="61">
        <f t="shared" si="5"/>
        <v>0</v>
      </c>
      <c r="G26" s="54"/>
      <c r="H26" s="51" t="s">
        <v>48</v>
      </c>
      <c r="I26" s="42">
        <v>-516131.79</v>
      </c>
      <c r="J26" s="84" t="s">
        <v>37</v>
      </c>
      <c r="K26" s="13" t="s">
        <v>38</v>
      </c>
      <c r="L26" s="22"/>
      <c r="M26" s="88"/>
      <c r="N26" s="88"/>
      <c r="O26" s="22" t="s">
        <v>49</v>
      </c>
    </row>
    <row r="27" s="32" customFormat="1" ht="18" customHeight="1" spans="1:15">
      <c r="A27" s="65">
        <v>43405</v>
      </c>
      <c r="B27" s="66">
        <f t="shared" si="4"/>
        <v>444941.2</v>
      </c>
      <c r="C27" s="67"/>
      <c r="D27" s="68" t="s">
        <v>50</v>
      </c>
      <c r="E27" s="64">
        <v>0.16</v>
      </c>
      <c r="F27" s="66">
        <f t="shared" si="5"/>
        <v>71190.59</v>
      </c>
      <c r="G27" s="54">
        <v>516131.79</v>
      </c>
      <c r="H27" s="69" t="s">
        <v>48</v>
      </c>
      <c r="I27" s="89">
        <v>516131.79</v>
      </c>
      <c r="J27" s="90" t="s">
        <v>21</v>
      </c>
      <c r="K27" s="91" t="s">
        <v>51</v>
      </c>
      <c r="L27" s="92" t="s">
        <v>52</v>
      </c>
      <c r="M27" s="93"/>
      <c r="N27" s="93"/>
      <c r="O27" s="92"/>
    </row>
    <row r="28" s="31" customFormat="1" ht="18" customHeight="1" spans="1:15">
      <c r="A28" s="60">
        <v>43405</v>
      </c>
      <c r="B28" s="61">
        <f t="shared" si="4"/>
        <v>172413.79</v>
      </c>
      <c r="C28" s="62"/>
      <c r="D28" s="63" t="s">
        <v>50</v>
      </c>
      <c r="E28" s="64">
        <v>0.16</v>
      </c>
      <c r="F28" s="61">
        <f t="shared" si="5"/>
        <v>27586.21</v>
      </c>
      <c r="G28" s="54">
        <v>200000</v>
      </c>
      <c r="H28" s="51">
        <v>43444</v>
      </c>
      <c r="I28" s="42">
        <v>200000</v>
      </c>
      <c r="J28" s="84" t="s">
        <v>21</v>
      </c>
      <c r="K28" s="13" t="s">
        <v>53</v>
      </c>
      <c r="L28" s="22" t="s">
        <v>45</v>
      </c>
      <c r="M28" s="88"/>
      <c r="N28" s="88"/>
      <c r="O28" s="22"/>
    </row>
    <row r="29" s="31" customFormat="1" ht="18" customHeight="1" spans="1:15">
      <c r="A29" s="60">
        <v>43405</v>
      </c>
      <c r="B29" s="61">
        <f t="shared" si="4"/>
        <v>223200</v>
      </c>
      <c r="C29" s="62"/>
      <c r="D29" s="63" t="s">
        <v>54</v>
      </c>
      <c r="E29" s="64"/>
      <c r="F29" s="61">
        <f t="shared" si="5"/>
        <v>0</v>
      </c>
      <c r="G29" s="54">
        <v>223200</v>
      </c>
      <c r="H29" s="51">
        <v>43444</v>
      </c>
      <c r="I29" s="42">
        <v>223200</v>
      </c>
      <c r="J29" s="84" t="s">
        <v>37</v>
      </c>
      <c r="K29" s="13" t="s">
        <v>55</v>
      </c>
      <c r="L29" s="22" t="s">
        <v>56</v>
      </c>
      <c r="M29" s="88"/>
      <c r="N29" s="88"/>
      <c r="O29" s="22"/>
    </row>
    <row r="30" s="31" customFormat="1" ht="18" customHeight="1" spans="1:15">
      <c r="A30" s="60">
        <v>43405</v>
      </c>
      <c r="B30" s="61">
        <f t="shared" si="4"/>
        <v>176800</v>
      </c>
      <c r="C30" s="62"/>
      <c r="D30" s="63" t="s">
        <v>54</v>
      </c>
      <c r="E30" s="64"/>
      <c r="F30" s="61">
        <f t="shared" si="5"/>
        <v>0</v>
      </c>
      <c r="G30" s="54">
        <v>176800</v>
      </c>
      <c r="H30" s="51">
        <v>43444</v>
      </c>
      <c r="I30" s="42">
        <v>176800</v>
      </c>
      <c r="J30" s="84" t="s">
        <v>37</v>
      </c>
      <c r="K30" s="13" t="s">
        <v>57</v>
      </c>
      <c r="L30" s="22" t="s">
        <v>58</v>
      </c>
      <c r="M30" s="88"/>
      <c r="N30" s="88"/>
      <c r="O30" s="22"/>
    </row>
    <row r="31" s="31" customFormat="1" ht="18" customHeight="1" spans="1:15">
      <c r="A31" s="60"/>
      <c r="B31" s="61">
        <f t="shared" si="4"/>
        <v>0</v>
      </c>
      <c r="C31" s="62"/>
      <c r="D31" s="63"/>
      <c r="E31" s="64"/>
      <c r="F31" s="61">
        <f t="shared" si="5"/>
        <v>0</v>
      </c>
      <c r="G31" s="54"/>
      <c r="H31" s="51" t="s">
        <v>59</v>
      </c>
      <c r="I31" s="42">
        <v>368654</v>
      </c>
      <c r="J31" s="84" t="s">
        <v>37</v>
      </c>
      <c r="K31" s="13" t="s">
        <v>38</v>
      </c>
      <c r="L31" s="22"/>
      <c r="M31" s="88"/>
      <c r="N31" s="88"/>
      <c r="O31" s="22"/>
    </row>
    <row r="32" s="31" customFormat="1" ht="18" customHeight="1" spans="1:15">
      <c r="A32" s="60">
        <v>43484</v>
      </c>
      <c r="B32" s="61">
        <f t="shared" si="4"/>
        <v>59051.72</v>
      </c>
      <c r="C32" s="62"/>
      <c r="D32" s="63" t="s">
        <v>50</v>
      </c>
      <c r="E32" s="64">
        <v>0.16</v>
      </c>
      <c r="F32" s="61">
        <f t="shared" si="5"/>
        <v>9448.28</v>
      </c>
      <c r="G32" s="54">
        <v>68500</v>
      </c>
      <c r="H32" s="51">
        <v>43490</v>
      </c>
      <c r="I32" s="42">
        <v>68500</v>
      </c>
      <c r="J32" s="84" t="s">
        <v>21</v>
      </c>
      <c r="K32" s="94" t="s">
        <v>60</v>
      </c>
      <c r="L32" s="94" t="s">
        <v>61</v>
      </c>
      <c r="M32" s="88"/>
      <c r="N32" s="88"/>
      <c r="O32" s="22"/>
    </row>
    <row r="33" s="31" customFormat="1" ht="18" customHeight="1" spans="1:15">
      <c r="A33" s="60"/>
      <c r="B33" s="61">
        <f t="shared" si="4"/>
        <v>0</v>
      </c>
      <c r="C33" s="62"/>
      <c r="D33" s="63"/>
      <c r="E33" s="64"/>
      <c r="F33" s="61">
        <f t="shared" si="5"/>
        <v>0</v>
      </c>
      <c r="G33" s="54"/>
      <c r="H33" s="51">
        <v>43490</v>
      </c>
      <c r="I33" s="42">
        <v>-68500</v>
      </c>
      <c r="J33" s="84" t="s">
        <v>37</v>
      </c>
      <c r="K33" s="13" t="s">
        <v>38</v>
      </c>
      <c r="L33" s="22"/>
      <c r="M33" s="88"/>
      <c r="N33" s="88"/>
      <c r="O33" s="22"/>
    </row>
    <row r="34" s="31" customFormat="1" ht="18" customHeight="1" spans="1:15">
      <c r="A34" s="60">
        <v>43484</v>
      </c>
      <c r="B34" s="61">
        <f t="shared" si="4"/>
        <v>171551.72</v>
      </c>
      <c r="C34" s="62"/>
      <c r="D34" s="63" t="s">
        <v>50</v>
      </c>
      <c r="E34" s="64">
        <v>0.16</v>
      </c>
      <c r="F34" s="61">
        <f t="shared" si="5"/>
        <v>27448.28</v>
      </c>
      <c r="G34" s="54">
        <f>99500*2</f>
        <v>199000</v>
      </c>
      <c r="H34" s="51">
        <v>43496</v>
      </c>
      <c r="I34" s="42">
        <v>199000</v>
      </c>
      <c r="J34" s="95" t="s">
        <v>21</v>
      </c>
      <c r="K34" s="96" t="s">
        <v>53</v>
      </c>
      <c r="L34" s="58" t="s">
        <v>45</v>
      </c>
      <c r="M34" s="97"/>
      <c r="N34" s="97"/>
      <c r="O34" s="22"/>
    </row>
    <row r="35" s="32" customFormat="1" ht="18" customHeight="1" spans="1:15">
      <c r="A35" s="65">
        <v>43466</v>
      </c>
      <c r="B35" s="66">
        <f t="shared" si="4"/>
        <v>448016.84</v>
      </c>
      <c r="C35" s="67"/>
      <c r="D35" s="68" t="s">
        <v>50</v>
      </c>
      <c r="E35" s="64">
        <v>0.16</v>
      </c>
      <c r="F35" s="66">
        <f t="shared" si="5"/>
        <v>71682.69</v>
      </c>
      <c r="G35" s="54">
        <v>519699.53</v>
      </c>
      <c r="H35" s="69">
        <v>43496</v>
      </c>
      <c r="I35" s="89">
        <v>519699.53</v>
      </c>
      <c r="J35" s="90" t="s">
        <v>21</v>
      </c>
      <c r="K35" s="98" t="s">
        <v>51</v>
      </c>
      <c r="L35" s="99" t="s">
        <v>52</v>
      </c>
      <c r="M35" s="100"/>
      <c r="N35" s="100"/>
      <c r="O35" s="92"/>
    </row>
    <row r="36" s="31" customFormat="1" ht="18" customHeight="1" spans="1:15">
      <c r="A36" s="60">
        <v>43466</v>
      </c>
      <c r="B36" s="61">
        <f t="shared" si="4"/>
        <v>177155.17</v>
      </c>
      <c r="C36" s="62"/>
      <c r="D36" s="63" t="s">
        <v>50</v>
      </c>
      <c r="E36" s="64">
        <v>0.16</v>
      </c>
      <c r="F36" s="61">
        <f t="shared" si="5"/>
        <v>28344.83</v>
      </c>
      <c r="G36" s="54">
        <f>96300+109200</f>
        <v>205500</v>
      </c>
      <c r="H36" s="51">
        <v>43496</v>
      </c>
      <c r="I36" s="42">
        <v>205500</v>
      </c>
      <c r="J36" s="84" t="s">
        <v>21</v>
      </c>
      <c r="K36" s="96" t="s">
        <v>62</v>
      </c>
      <c r="L36" s="58" t="s">
        <v>45</v>
      </c>
      <c r="M36" s="97"/>
      <c r="N36" s="97"/>
      <c r="O36" s="22"/>
    </row>
    <row r="37" s="31" customFormat="1" ht="18" customHeight="1" spans="1:15">
      <c r="A37" s="60">
        <v>43466</v>
      </c>
      <c r="B37" s="61">
        <f t="shared" si="4"/>
        <v>380000</v>
      </c>
      <c r="C37" s="62"/>
      <c r="D37" s="63" t="s">
        <v>54</v>
      </c>
      <c r="E37" s="64"/>
      <c r="F37" s="61">
        <f t="shared" si="5"/>
        <v>0</v>
      </c>
      <c r="G37" s="54">
        <v>380000</v>
      </c>
      <c r="H37" s="51">
        <v>43497</v>
      </c>
      <c r="I37" s="42">
        <v>380000</v>
      </c>
      <c r="J37" s="84" t="s">
        <v>37</v>
      </c>
      <c r="K37" s="96" t="s">
        <v>63</v>
      </c>
      <c r="L37" s="58" t="s">
        <v>58</v>
      </c>
      <c r="M37" s="84"/>
      <c r="N37" s="97"/>
      <c r="O37" s="22"/>
    </row>
    <row r="38" s="31" customFormat="1" ht="18" customHeight="1" spans="1:15">
      <c r="A38" s="60">
        <v>43466</v>
      </c>
      <c r="B38" s="61">
        <f t="shared" si="4"/>
        <v>520000</v>
      </c>
      <c r="C38" s="62"/>
      <c r="D38" s="63" t="s">
        <v>54</v>
      </c>
      <c r="E38" s="64"/>
      <c r="F38" s="61">
        <f t="shared" si="5"/>
        <v>0</v>
      </c>
      <c r="G38" s="54">
        <v>520000</v>
      </c>
      <c r="H38" s="51">
        <v>43497</v>
      </c>
      <c r="I38" s="42">
        <v>520000</v>
      </c>
      <c r="J38" s="84" t="s">
        <v>37</v>
      </c>
      <c r="K38" s="96" t="s">
        <v>64</v>
      </c>
      <c r="L38" s="58" t="s">
        <v>43</v>
      </c>
      <c r="M38" s="84"/>
      <c r="N38" s="88"/>
      <c r="O38" s="22"/>
    </row>
    <row r="39" s="31" customFormat="1" ht="18" customHeight="1" spans="1:15">
      <c r="A39" s="60"/>
      <c r="B39" s="61">
        <f t="shared" si="4"/>
        <v>0</v>
      </c>
      <c r="C39" s="62"/>
      <c r="D39" s="63"/>
      <c r="E39" s="64"/>
      <c r="F39" s="61">
        <f t="shared" si="5"/>
        <v>0</v>
      </c>
      <c r="G39" s="54"/>
      <c r="H39" s="51">
        <v>43497</v>
      </c>
      <c r="I39" s="42">
        <v>181949.47</v>
      </c>
      <c r="J39" s="84" t="s">
        <v>37</v>
      </c>
      <c r="K39" s="13" t="s">
        <v>38</v>
      </c>
      <c r="L39" s="58"/>
      <c r="M39" s="84"/>
      <c r="N39" s="88"/>
      <c r="O39" s="22"/>
    </row>
    <row r="40" s="31" customFormat="1" ht="18" customHeight="1" spans="1:15">
      <c r="A40" s="60">
        <v>43647</v>
      </c>
      <c r="B40" s="61">
        <f t="shared" si="4"/>
        <v>456838.94</v>
      </c>
      <c r="C40" s="62"/>
      <c r="D40" s="63" t="s">
        <v>50</v>
      </c>
      <c r="E40" s="64">
        <v>0.13</v>
      </c>
      <c r="F40" s="61">
        <f t="shared" si="5"/>
        <v>59389.06</v>
      </c>
      <c r="G40" s="54">
        <f>233041.98+110748.49+172437.53</f>
        <v>516228</v>
      </c>
      <c r="H40" s="51">
        <v>43669</v>
      </c>
      <c r="I40" s="42">
        <v>516228</v>
      </c>
      <c r="J40" s="88" t="s">
        <v>21</v>
      </c>
      <c r="K40" s="13" t="s">
        <v>51</v>
      </c>
      <c r="L40" s="58" t="s">
        <v>52</v>
      </c>
      <c r="M40" s="84"/>
      <c r="N40" s="88"/>
      <c r="O40" s="22"/>
    </row>
    <row r="41" s="31" customFormat="1" ht="18" customHeight="1" spans="1:15">
      <c r="A41" s="60">
        <v>43647</v>
      </c>
      <c r="B41" s="61">
        <f t="shared" si="4"/>
        <v>442477.88</v>
      </c>
      <c r="C41" s="62"/>
      <c r="D41" s="63" t="s">
        <v>50</v>
      </c>
      <c r="E41" s="64">
        <v>0.13</v>
      </c>
      <c r="F41" s="61">
        <f t="shared" si="5"/>
        <v>57522.12</v>
      </c>
      <c r="G41" s="54">
        <f>100000*5</f>
        <v>500000</v>
      </c>
      <c r="H41" s="51">
        <v>43669</v>
      </c>
      <c r="I41" s="42">
        <v>1000000</v>
      </c>
      <c r="J41" s="88" t="s">
        <v>21</v>
      </c>
      <c r="K41" s="96" t="s">
        <v>65</v>
      </c>
      <c r="L41" s="58" t="s">
        <v>66</v>
      </c>
      <c r="M41" s="84"/>
      <c r="N41" s="88"/>
      <c r="O41" s="22"/>
    </row>
    <row r="42" s="31" customFormat="1" ht="18" customHeight="1" spans="1:15">
      <c r="A42" s="60">
        <v>43678</v>
      </c>
      <c r="B42" s="61">
        <f t="shared" si="4"/>
        <v>485436.89</v>
      </c>
      <c r="C42" s="62"/>
      <c r="D42" s="63" t="s">
        <v>50</v>
      </c>
      <c r="E42" s="70">
        <v>0.03</v>
      </c>
      <c r="F42" s="61">
        <f t="shared" si="5"/>
        <v>14563.11</v>
      </c>
      <c r="G42" s="54">
        <v>500000</v>
      </c>
      <c r="H42" s="51">
        <v>43711</v>
      </c>
      <c r="I42" s="42">
        <v>412560</v>
      </c>
      <c r="J42" s="88" t="s">
        <v>21</v>
      </c>
      <c r="K42" s="96" t="s">
        <v>67</v>
      </c>
      <c r="L42" s="58" t="s">
        <v>58</v>
      </c>
      <c r="M42" s="84"/>
      <c r="N42" s="88"/>
      <c r="O42" s="22"/>
    </row>
    <row r="43" s="31" customFormat="1" ht="18" customHeight="1" spans="1:15">
      <c r="A43" s="60">
        <v>43678</v>
      </c>
      <c r="B43" s="61">
        <f t="shared" si="4"/>
        <v>265486.73</v>
      </c>
      <c r="C43" s="62"/>
      <c r="D43" s="63" t="s">
        <v>50</v>
      </c>
      <c r="E43" s="70">
        <v>0.13</v>
      </c>
      <c r="F43" s="61">
        <f t="shared" si="5"/>
        <v>34513.27</v>
      </c>
      <c r="G43" s="54">
        <v>300000</v>
      </c>
      <c r="H43" s="51"/>
      <c r="I43" s="42"/>
      <c r="J43" s="88"/>
      <c r="K43" s="96" t="s">
        <v>65</v>
      </c>
      <c r="L43" s="58" t="s">
        <v>66</v>
      </c>
      <c r="M43" s="84"/>
      <c r="N43" s="88"/>
      <c r="O43" s="22"/>
    </row>
    <row r="44" s="31" customFormat="1" ht="18" customHeight="1" spans="1:15">
      <c r="A44" s="60">
        <v>43770</v>
      </c>
      <c r="B44" s="42">
        <f t="shared" si="4"/>
        <v>478088.5</v>
      </c>
      <c r="C44" s="71"/>
      <c r="D44" s="63" t="s">
        <v>50</v>
      </c>
      <c r="E44" s="72">
        <v>0.13</v>
      </c>
      <c r="F44" s="42">
        <f t="shared" si="5"/>
        <v>62151.5</v>
      </c>
      <c r="G44" s="73">
        <f>142447.66+166479.06+161610.66+69702.62</f>
        <v>540240</v>
      </c>
      <c r="H44" s="51"/>
      <c r="I44" s="42"/>
      <c r="J44" s="88"/>
      <c r="K44" s="13" t="s">
        <v>51</v>
      </c>
      <c r="L44" s="58" t="s">
        <v>68</v>
      </c>
      <c r="M44" s="84"/>
      <c r="N44" s="88"/>
      <c r="O44" s="22"/>
    </row>
    <row r="45" s="31" customFormat="1" ht="18" customHeight="1" spans="1:15">
      <c r="A45" s="60">
        <v>43770</v>
      </c>
      <c r="B45" s="42">
        <f t="shared" si="4"/>
        <v>619469.03</v>
      </c>
      <c r="C45" s="71"/>
      <c r="D45" s="63" t="s">
        <v>50</v>
      </c>
      <c r="E45" s="72">
        <v>0.13</v>
      </c>
      <c r="F45" s="42">
        <f t="shared" si="5"/>
        <v>80530.97</v>
      </c>
      <c r="G45" s="73">
        <f>100000*7</f>
        <v>700000</v>
      </c>
      <c r="H45" s="51">
        <v>43794</v>
      </c>
      <c r="I45" s="42">
        <v>1000000</v>
      </c>
      <c r="J45" s="88" t="s">
        <v>21</v>
      </c>
      <c r="K45" s="96" t="s">
        <v>65</v>
      </c>
      <c r="L45" s="58" t="s">
        <v>69</v>
      </c>
      <c r="M45" s="84"/>
      <c r="N45" s="88" t="s">
        <v>70</v>
      </c>
      <c r="O45" s="22"/>
    </row>
    <row r="46" s="31" customFormat="1" ht="18" customHeight="1" spans="1:15">
      <c r="A46" s="60">
        <v>43770</v>
      </c>
      <c r="B46" s="42">
        <f t="shared" si="4"/>
        <v>980582.52</v>
      </c>
      <c r="C46" s="71"/>
      <c r="D46" s="63" t="s">
        <v>50</v>
      </c>
      <c r="E46" s="72">
        <v>0.03</v>
      </c>
      <c r="F46" s="42">
        <f t="shared" si="5"/>
        <v>29417.48</v>
      </c>
      <c r="G46" s="73">
        <f>100000*10+10000</f>
        <v>1010000</v>
      </c>
      <c r="H46" s="51">
        <v>43802</v>
      </c>
      <c r="I46" s="42">
        <v>900000</v>
      </c>
      <c r="J46" s="88" t="s">
        <v>21</v>
      </c>
      <c r="K46" s="96" t="s">
        <v>67</v>
      </c>
      <c r="L46" s="58" t="s">
        <v>58</v>
      </c>
      <c r="M46" s="84"/>
      <c r="N46" s="88"/>
      <c r="O46" s="22"/>
    </row>
    <row r="47" s="31" customFormat="1" ht="18" customHeight="1" spans="1:15">
      <c r="A47" s="60">
        <v>43770</v>
      </c>
      <c r="B47" s="42">
        <f t="shared" si="4"/>
        <v>400000</v>
      </c>
      <c r="C47" s="71"/>
      <c r="D47" s="63" t="s">
        <v>54</v>
      </c>
      <c r="E47" s="72"/>
      <c r="F47" s="42">
        <f t="shared" si="5"/>
        <v>0</v>
      </c>
      <c r="G47" s="73">
        <v>400000</v>
      </c>
      <c r="H47" s="51">
        <v>43802</v>
      </c>
      <c r="I47" s="42">
        <v>400000</v>
      </c>
      <c r="J47" s="88" t="s">
        <v>21</v>
      </c>
      <c r="K47" s="96" t="s">
        <v>71</v>
      </c>
      <c r="L47" s="58" t="s">
        <v>43</v>
      </c>
      <c r="M47" s="84"/>
      <c r="N47" s="88"/>
      <c r="O47" s="22"/>
    </row>
    <row r="48" s="31" customFormat="1" ht="18" customHeight="1" spans="1:15">
      <c r="A48" s="60"/>
      <c r="B48" s="42">
        <f t="shared" si="4"/>
        <v>0</v>
      </c>
      <c r="C48" s="71"/>
      <c r="D48" s="74"/>
      <c r="E48" s="72"/>
      <c r="F48" s="42">
        <f t="shared" si="5"/>
        <v>0</v>
      </c>
      <c r="G48" s="73"/>
      <c r="H48" s="51">
        <v>43797</v>
      </c>
      <c r="I48" s="42">
        <v>540600</v>
      </c>
      <c r="J48" s="88" t="s">
        <v>21</v>
      </c>
      <c r="K48" s="96" t="s">
        <v>51</v>
      </c>
      <c r="L48" s="58" t="s">
        <v>52</v>
      </c>
      <c r="M48" s="84"/>
      <c r="N48" s="88"/>
      <c r="O48" s="22"/>
    </row>
    <row r="49" s="31" customFormat="1" ht="18" customHeight="1" spans="1:15">
      <c r="A49" s="60">
        <v>43831</v>
      </c>
      <c r="B49" s="42">
        <f t="shared" si="4"/>
        <v>707964.6</v>
      </c>
      <c r="C49" s="71"/>
      <c r="D49" s="63" t="s">
        <v>50</v>
      </c>
      <c r="E49" s="72">
        <v>0.13</v>
      </c>
      <c r="F49" s="42">
        <f t="shared" si="5"/>
        <v>92035.4</v>
      </c>
      <c r="G49" s="73">
        <f>8*100000</f>
        <v>800000</v>
      </c>
      <c r="H49" s="51">
        <v>43849</v>
      </c>
      <c r="I49" s="42">
        <v>1000000</v>
      </c>
      <c r="J49" s="88" t="s">
        <v>21</v>
      </c>
      <c r="K49" s="96" t="s">
        <v>65</v>
      </c>
      <c r="L49" s="58" t="s">
        <v>72</v>
      </c>
      <c r="M49" s="84" t="s">
        <v>73</v>
      </c>
      <c r="N49" s="88" t="s">
        <v>74</v>
      </c>
      <c r="O49" s="22"/>
    </row>
    <row r="50" s="31" customFormat="1" ht="18" customHeight="1" spans="1:15">
      <c r="A50" s="60">
        <v>43831</v>
      </c>
      <c r="B50" s="42">
        <f t="shared" si="4"/>
        <v>399500</v>
      </c>
      <c r="C50" s="71"/>
      <c r="D50" s="63" t="s">
        <v>54</v>
      </c>
      <c r="E50" s="72"/>
      <c r="F50" s="42">
        <f t="shared" si="5"/>
        <v>0</v>
      </c>
      <c r="G50" s="73">
        <v>399500</v>
      </c>
      <c r="H50" s="51">
        <v>43849</v>
      </c>
      <c r="I50" s="42">
        <v>399500</v>
      </c>
      <c r="J50" s="84" t="s">
        <v>37</v>
      </c>
      <c r="K50" s="96" t="s">
        <v>75</v>
      </c>
      <c r="L50" s="58" t="s">
        <v>76</v>
      </c>
      <c r="M50" s="84" t="s">
        <v>73</v>
      </c>
      <c r="N50" s="88"/>
      <c r="O50" s="22"/>
    </row>
    <row r="51" s="33" customFormat="1" ht="18" customHeight="1" spans="1:15">
      <c r="A51" s="60">
        <v>43831</v>
      </c>
      <c r="B51" s="61">
        <f t="shared" si="4"/>
        <v>353982.3</v>
      </c>
      <c r="C51" s="62"/>
      <c r="D51" s="63" t="s">
        <v>50</v>
      </c>
      <c r="E51" s="70">
        <v>0.13</v>
      </c>
      <c r="F51" s="61">
        <f t="shared" si="5"/>
        <v>46017.7</v>
      </c>
      <c r="G51" s="54">
        <v>400000</v>
      </c>
      <c r="H51" s="75">
        <v>43851</v>
      </c>
      <c r="I51" s="61">
        <v>350000</v>
      </c>
      <c r="J51" s="88" t="s">
        <v>21</v>
      </c>
      <c r="K51" s="13" t="s">
        <v>77</v>
      </c>
      <c r="L51" s="22" t="s">
        <v>78</v>
      </c>
      <c r="M51" s="101" t="s">
        <v>79</v>
      </c>
      <c r="N51" s="88"/>
      <c r="O51" s="102" t="s">
        <v>32</v>
      </c>
    </row>
    <row r="52" s="31" customFormat="1" ht="18" customHeight="1" spans="1:15">
      <c r="A52" s="60">
        <v>43831</v>
      </c>
      <c r="B52" s="42">
        <f t="shared" si="4"/>
        <v>162530.97</v>
      </c>
      <c r="C52" s="71"/>
      <c r="D52" s="74" t="s">
        <v>50</v>
      </c>
      <c r="E52" s="72">
        <v>0.13</v>
      </c>
      <c r="F52" s="42">
        <f t="shared" si="5"/>
        <v>21129.03</v>
      </c>
      <c r="G52" s="73">
        <f>108780+74880</f>
        <v>183660</v>
      </c>
      <c r="H52" s="51">
        <v>43849</v>
      </c>
      <c r="I52" s="42">
        <v>183660</v>
      </c>
      <c r="J52" s="88" t="s">
        <v>21</v>
      </c>
      <c r="K52" s="96" t="s">
        <v>80</v>
      </c>
      <c r="L52" s="58" t="s">
        <v>81</v>
      </c>
      <c r="M52" s="84"/>
      <c r="N52" s="88"/>
      <c r="O52" s="22"/>
    </row>
    <row r="53" s="33" customFormat="1" ht="18" customHeight="1" spans="1:15">
      <c r="A53" s="76">
        <v>44002</v>
      </c>
      <c r="B53" s="47">
        <f t="shared" si="4"/>
        <v>1415929.2</v>
      </c>
      <c r="C53" s="77"/>
      <c r="D53" s="78" t="s">
        <v>50</v>
      </c>
      <c r="E53" s="79">
        <v>0.13</v>
      </c>
      <c r="F53" s="47">
        <f t="shared" si="5"/>
        <v>184070.8</v>
      </c>
      <c r="G53" s="80">
        <v>1600000</v>
      </c>
      <c r="H53" s="75">
        <v>44126</v>
      </c>
      <c r="I53" s="61">
        <v>1130000</v>
      </c>
      <c r="J53" s="88" t="s">
        <v>21</v>
      </c>
      <c r="K53" s="13" t="s">
        <v>65</v>
      </c>
      <c r="L53" s="22" t="s">
        <v>82</v>
      </c>
      <c r="M53" s="88" t="s">
        <v>83</v>
      </c>
      <c r="N53" s="97"/>
      <c r="O53" s="103" t="s">
        <v>84</v>
      </c>
    </row>
    <row r="54" s="33" customFormat="1" ht="18" customHeight="1" spans="1:15">
      <c r="A54" s="76">
        <v>44124</v>
      </c>
      <c r="B54" s="47">
        <f t="shared" si="4"/>
        <v>796460.18</v>
      </c>
      <c r="C54" s="77">
        <v>9</v>
      </c>
      <c r="D54" s="78" t="s">
        <v>50</v>
      </c>
      <c r="E54" s="79">
        <v>0.13</v>
      </c>
      <c r="F54" s="47">
        <f t="shared" si="5"/>
        <v>103539.82</v>
      </c>
      <c r="G54" s="80">
        <v>900000</v>
      </c>
      <c r="H54" s="75"/>
      <c r="I54" s="61"/>
      <c r="J54" s="88"/>
      <c r="K54" s="13" t="s">
        <v>65</v>
      </c>
      <c r="L54" s="22" t="s">
        <v>82</v>
      </c>
      <c r="M54" s="88"/>
      <c r="N54" s="97"/>
      <c r="O54" s="104"/>
    </row>
    <row r="55" s="33" customFormat="1" ht="18" customHeight="1" spans="1:15">
      <c r="A55" s="60">
        <v>44124</v>
      </c>
      <c r="B55" s="61">
        <f t="shared" si="4"/>
        <v>251819.27</v>
      </c>
      <c r="C55" s="62">
        <v>3</v>
      </c>
      <c r="D55" s="63" t="s">
        <v>50</v>
      </c>
      <c r="E55" s="70">
        <v>0.01</v>
      </c>
      <c r="F55" s="61">
        <f t="shared" si="5"/>
        <v>2518.19</v>
      </c>
      <c r="G55" s="54">
        <f>200000+54337.46</f>
        <v>254337.46</v>
      </c>
      <c r="H55" s="75">
        <v>44134</v>
      </c>
      <c r="I55" s="61">
        <v>254337.46</v>
      </c>
      <c r="J55" s="88" t="s">
        <v>21</v>
      </c>
      <c r="K55" s="13" t="s">
        <v>67</v>
      </c>
      <c r="L55" s="22" t="s">
        <v>58</v>
      </c>
      <c r="M55" s="105" t="s">
        <v>85</v>
      </c>
      <c r="N55" s="97"/>
      <c r="O55" s="102" t="s">
        <v>32</v>
      </c>
    </row>
    <row r="56" s="33" customFormat="1" ht="18" customHeight="1" spans="1:15">
      <c r="A56" s="76">
        <v>44124</v>
      </c>
      <c r="B56" s="47">
        <f t="shared" si="4"/>
        <v>296039.6</v>
      </c>
      <c r="C56" s="77">
        <v>3</v>
      </c>
      <c r="D56" s="78" t="s">
        <v>50</v>
      </c>
      <c r="E56" s="79">
        <v>0.01</v>
      </c>
      <c r="F56" s="47">
        <f t="shared" si="5"/>
        <v>2960.4</v>
      </c>
      <c r="G56" s="80">
        <f>200000+99000</f>
        <v>299000</v>
      </c>
      <c r="H56" s="75">
        <v>44134</v>
      </c>
      <c r="I56" s="61">
        <v>299000</v>
      </c>
      <c r="J56" s="88" t="s">
        <v>21</v>
      </c>
      <c r="K56" s="13" t="s">
        <v>67</v>
      </c>
      <c r="L56" s="22" t="s">
        <v>43</v>
      </c>
      <c r="M56" s="105" t="s">
        <v>86</v>
      </c>
      <c r="N56" s="97"/>
      <c r="O56" s="15" t="s">
        <v>87</v>
      </c>
    </row>
    <row r="57" s="33" customFormat="1" ht="18" customHeight="1" spans="1:15">
      <c r="A57" s="76"/>
      <c r="B57" s="61">
        <f t="shared" si="4"/>
        <v>0</v>
      </c>
      <c r="C57" s="77"/>
      <c r="D57" s="78"/>
      <c r="E57" s="79"/>
      <c r="F57" s="61">
        <f t="shared" si="5"/>
        <v>0</v>
      </c>
      <c r="G57" s="80"/>
      <c r="H57" s="75">
        <v>44134</v>
      </c>
      <c r="I57" s="61">
        <v>197440</v>
      </c>
      <c r="J57" s="88" t="s">
        <v>21</v>
      </c>
      <c r="K57" s="13" t="s">
        <v>67</v>
      </c>
      <c r="L57" s="22" t="s">
        <v>58</v>
      </c>
      <c r="M57" s="88"/>
      <c r="N57" s="97"/>
      <c r="O57" s="102"/>
    </row>
    <row r="58" s="33" customFormat="1" ht="18" customHeight="1" spans="1:15">
      <c r="A58" s="60">
        <v>44133</v>
      </c>
      <c r="B58" s="61">
        <f t="shared" si="4"/>
        <v>818437.6</v>
      </c>
      <c r="C58" s="62">
        <v>9</v>
      </c>
      <c r="D58" s="63" t="s">
        <v>50</v>
      </c>
      <c r="E58" s="70">
        <v>0.01</v>
      </c>
      <c r="F58" s="61">
        <f t="shared" si="5"/>
        <v>8184.38</v>
      </c>
      <c r="G58" s="54">
        <f>800000+26621.98</f>
        <v>826621.98</v>
      </c>
      <c r="H58" s="75">
        <v>44134</v>
      </c>
      <c r="I58" s="61">
        <v>826621.98</v>
      </c>
      <c r="J58" s="88" t="s">
        <v>21</v>
      </c>
      <c r="K58" s="13" t="s">
        <v>88</v>
      </c>
      <c r="L58" s="22" t="s">
        <v>58</v>
      </c>
      <c r="M58" s="105" t="s">
        <v>89</v>
      </c>
      <c r="N58" s="97"/>
      <c r="O58" s="102" t="s">
        <v>32</v>
      </c>
    </row>
    <row r="59" s="33" customFormat="1" ht="18" customHeight="1" spans="1:15">
      <c r="A59" s="60">
        <v>44197</v>
      </c>
      <c r="B59" s="61">
        <f t="shared" si="4"/>
        <v>160608.5</v>
      </c>
      <c r="C59" s="62">
        <v>2</v>
      </c>
      <c r="D59" s="63" t="s">
        <v>50</v>
      </c>
      <c r="E59" s="70">
        <v>0.13</v>
      </c>
      <c r="F59" s="61">
        <f t="shared" si="5"/>
        <v>20879.1</v>
      </c>
      <c r="G59" s="54">
        <f>108200+73287.6</f>
        <v>181487.6</v>
      </c>
      <c r="H59" s="75">
        <v>44216</v>
      </c>
      <c r="I59" s="61">
        <v>181487.6</v>
      </c>
      <c r="J59" s="88" t="s">
        <v>21</v>
      </c>
      <c r="K59" s="13" t="s">
        <v>90</v>
      </c>
      <c r="L59" s="22" t="s">
        <v>91</v>
      </c>
      <c r="M59" s="105" t="s">
        <v>92</v>
      </c>
      <c r="N59" s="97"/>
      <c r="O59" s="102"/>
    </row>
    <row r="60" s="33" customFormat="1" ht="18" customHeight="1" spans="1:15">
      <c r="A60" s="76"/>
      <c r="B60" s="61">
        <f t="shared" si="4"/>
        <v>0</v>
      </c>
      <c r="C60" s="77"/>
      <c r="D60" s="78"/>
      <c r="E60" s="79"/>
      <c r="F60" s="61">
        <f t="shared" si="5"/>
        <v>0</v>
      </c>
      <c r="G60" s="80"/>
      <c r="H60" s="75">
        <v>44180</v>
      </c>
      <c r="I60" s="42">
        <v>-500000</v>
      </c>
      <c r="J60" s="88" t="s">
        <v>21</v>
      </c>
      <c r="K60" s="13" t="s">
        <v>93</v>
      </c>
      <c r="L60" s="22"/>
      <c r="M60" s="88"/>
      <c r="N60" s="97"/>
      <c r="O60" s="102"/>
    </row>
    <row r="61" s="33" customFormat="1" ht="18" customHeight="1" spans="1:15">
      <c r="A61" s="76"/>
      <c r="B61" s="61">
        <f t="shared" si="4"/>
        <v>0</v>
      </c>
      <c r="C61" s="77"/>
      <c r="D61" s="78"/>
      <c r="E61" s="79"/>
      <c r="F61" s="61">
        <f t="shared" si="5"/>
        <v>0</v>
      </c>
      <c r="G61" s="80"/>
      <c r="H61" s="75">
        <v>44181</v>
      </c>
      <c r="I61" s="61">
        <v>500000</v>
      </c>
      <c r="J61" s="88" t="s">
        <v>21</v>
      </c>
      <c r="K61" s="13" t="s">
        <v>40</v>
      </c>
      <c r="L61" s="22" t="s">
        <v>94</v>
      </c>
      <c r="M61" s="88"/>
      <c r="N61" s="97"/>
      <c r="O61" s="102"/>
    </row>
    <row r="62" s="33" customFormat="1" ht="18" customHeight="1" spans="1:15">
      <c r="A62" s="76"/>
      <c r="B62" s="61">
        <f t="shared" si="4"/>
        <v>0</v>
      </c>
      <c r="C62" s="77"/>
      <c r="D62" s="78"/>
      <c r="E62" s="79"/>
      <c r="F62" s="61">
        <f t="shared" si="5"/>
        <v>0</v>
      </c>
      <c r="G62" s="80"/>
      <c r="H62" s="75"/>
      <c r="I62" s="61"/>
      <c r="J62" s="88"/>
      <c r="K62" s="96" t="s">
        <v>65</v>
      </c>
      <c r="L62" s="58" t="s">
        <v>82</v>
      </c>
      <c r="M62" s="97">
        <v>1130000</v>
      </c>
      <c r="N62" s="97"/>
      <c r="O62" s="102" t="s">
        <v>95</v>
      </c>
    </row>
    <row r="63" s="33" customFormat="1" ht="18" customHeight="1" spans="1:15">
      <c r="A63" s="60">
        <v>44231</v>
      </c>
      <c r="B63" s="61">
        <f t="shared" si="4"/>
        <v>315000</v>
      </c>
      <c r="C63" s="62">
        <v>5</v>
      </c>
      <c r="D63" s="63" t="s">
        <v>96</v>
      </c>
      <c r="E63" s="70"/>
      <c r="F63" s="61">
        <f t="shared" si="5"/>
        <v>0</v>
      </c>
      <c r="G63" s="54">
        <f>10000+5000+100000+100000+100000</f>
        <v>315000</v>
      </c>
      <c r="H63" s="75">
        <v>44231</v>
      </c>
      <c r="I63" s="61">
        <v>315000</v>
      </c>
      <c r="J63" s="88" t="s">
        <v>21</v>
      </c>
      <c r="K63" s="46" t="s">
        <v>97</v>
      </c>
      <c r="L63" s="22" t="s">
        <v>98</v>
      </c>
      <c r="M63" s="105" t="s">
        <v>99</v>
      </c>
      <c r="N63" s="97"/>
      <c r="O63" s="102"/>
    </row>
    <row r="64" s="33" customFormat="1" ht="18" customHeight="1" spans="1:15">
      <c r="A64" s="60">
        <v>44231</v>
      </c>
      <c r="B64" s="61">
        <f t="shared" si="4"/>
        <v>272566.37</v>
      </c>
      <c r="C64" s="62">
        <v>3</v>
      </c>
      <c r="D64" s="63" t="s">
        <v>50</v>
      </c>
      <c r="E64" s="70">
        <v>0.13</v>
      </c>
      <c r="F64" s="61">
        <f t="shared" si="5"/>
        <v>35433.63</v>
      </c>
      <c r="G64" s="54">
        <f>200000+108000</f>
        <v>308000</v>
      </c>
      <c r="H64" s="75">
        <v>44231</v>
      </c>
      <c r="I64" s="61">
        <v>422000</v>
      </c>
      <c r="J64" s="88" t="s">
        <v>21</v>
      </c>
      <c r="K64" s="46" t="s">
        <v>62</v>
      </c>
      <c r="L64" s="22" t="s">
        <v>100</v>
      </c>
      <c r="M64" s="105" t="s">
        <v>101</v>
      </c>
      <c r="N64" s="97"/>
      <c r="O64" s="102" t="s">
        <v>102</v>
      </c>
    </row>
    <row r="65" s="33" customFormat="1" ht="18" customHeight="1" spans="1:15">
      <c r="A65" s="60">
        <v>44228</v>
      </c>
      <c r="B65" s="61">
        <f t="shared" si="4"/>
        <v>594059.41</v>
      </c>
      <c r="C65" s="62">
        <v>6</v>
      </c>
      <c r="D65" s="63" t="s">
        <v>50</v>
      </c>
      <c r="E65" s="70">
        <v>0.01</v>
      </c>
      <c r="F65" s="61">
        <f t="shared" si="5"/>
        <v>5940.59</v>
      </c>
      <c r="G65" s="54">
        <f>100000*6</f>
        <v>600000</v>
      </c>
      <c r="H65" s="75">
        <v>44231</v>
      </c>
      <c r="I65" s="61">
        <v>600000</v>
      </c>
      <c r="J65" s="88" t="s">
        <v>21</v>
      </c>
      <c r="K65" s="46" t="s">
        <v>67</v>
      </c>
      <c r="L65" s="22" t="s">
        <v>103</v>
      </c>
      <c r="M65" s="105" t="s">
        <v>104</v>
      </c>
      <c r="N65" s="97"/>
      <c r="O65" s="102"/>
    </row>
    <row r="66" s="33" customFormat="1" ht="18" customHeight="1" spans="1:15">
      <c r="A66" s="60"/>
      <c r="B66" s="61"/>
      <c r="C66" s="62"/>
      <c r="D66" s="63"/>
      <c r="E66" s="70"/>
      <c r="F66" s="61"/>
      <c r="G66" s="54"/>
      <c r="H66" s="75"/>
      <c r="I66" s="61"/>
      <c r="J66" s="88"/>
      <c r="K66" s="46"/>
      <c r="L66" s="22"/>
      <c r="M66" s="105"/>
      <c r="N66" s="97"/>
      <c r="O66" s="102"/>
    </row>
    <row r="67" s="33" customFormat="1" ht="18" customHeight="1" spans="1:15">
      <c r="A67" s="60"/>
      <c r="B67" s="61"/>
      <c r="C67" s="62"/>
      <c r="D67" s="63"/>
      <c r="E67" s="70"/>
      <c r="F67" s="61"/>
      <c r="G67" s="54"/>
      <c r="H67" s="75"/>
      <c r="I67" s="61"/>
      <c r="J67" s="88"/>
      <c r="K67" s="46"/>
      <c r="L67" s="22"/>
      <c r="M67" s="105"/>
      <c r="N67" s="97"/>
      <c r="O67" s="102"/>
    </row>
    <row r="68" s="33" customFormat="1" ht="18" customHeight="1" spans="1:15">
      <c r="A68" s="60"/>
      <c r="B68" s="61"/>
      <c r="C68" s="62"/>
      <c r="D68" s="63"/>
      <c r="E68" s="70"/>
      <c r="F68" s="61"/>
      <c r="G68" s="54"/>
      <c r="H68" s="75"/>
      <c r="I68" s="61"/>
      <c r="J68" s="88"/>
      <c r="K68" s="46"/>
      <c r="L68" s="22"/>
      <c r="M68" s="105"/>
      <c r="N68" s="97"/>
      <c r="O68" s="102"/>
    </row>
    <row r="69" s="33" customFormat="1" ht="18" customHeight="1" spans="1:15">
      <c r="A69" s="60"/>
      <c r="B69" s="61"/>
      <c r="C69" s="62"/>
      <c r="D69" s="63"/>
      <c r="E69" s="70"/>
      <c r="F69" s="61"/>
      <c r="G69" s="54"/>
      <c r="H69" s="75"/>
      <c r="I69" s="61"/>
      <c r="J69" s="88"/>
      <c r="K69" s="46"/>
      <c r="L69" s="22"/>
      <c r="M69" s="105"/>
      <c r="N69" s="97"/>
      <c r="O69" s="102"/>
    </row>
    <row r="70" s="33" customFormat="1" ht="18" customHeight="1" spans="1:15">
      <c r="A70" s="60"/>
      <c r="B70" s="61"/>
      <c r="C70" s="62"/>
      <c r="D70" s="63"/>
      <c r="E70" s="70"/>
      <c r="F70" s="61"/>
      <c r="G70" s="54"/>
      <c r="H70" s="75"/>
      <c r="I70" s="61"/>
      <c r="J70" s="88"/>
      <c r="K70" s="46"/>
      <c r="L70" s="22"/>
      <c r="M70" s="105"/>
      <c r="N70" s="97"/>
      <c r="O70" s="102"/>
    </row>
    <row r="71" s="33" customFormat="1" ht="18" customHeight="1" spans="1:15">
      <c r="A71" s="60"/>
      <c r="B71" s="61"/>
      <c r="C71" s="62"/>
      <c r="D71" s="63"/>
      <c r="E71" s="70"/>
      <c r="F71" s="61"/>
      <c r="G71" s="54"/>
      <c r="H71" s="75"/>
      <c r="I71" s="61"/>
      <c r="J71" s="88"/>
      <c r="K71" s="46"/>
      <c r="L71" s="22"/>
      <c r="M71" s="105"/>
      <c r="N71" s="97"/>
      <c r="O71" s="102"/>
    </row>
    <row r="72" s="33" customFormat="1" ht="18" customHeight="1" spans="1:15">
      <c r="A72" s="60"/>
      <c r="B72" s="61"/>
      <c r="C72" s="62"/>
      <c r="D72" s="63"/>
      <c r="E72" s="70"/>
      <c r="F72" s="61"/>
      <c r="G72" s="54"/>
      <c r="H72" s="75"/>
      <c r="I72" s="61"/>
      <c r="J72" s="88"/>
      <c r="K72" s="46"/>
      <c r="L72" s="22"/>
      <c r="M72" s="105"/>
      <c r="N72" s="97"/>
      <c r="O72" s="102"/>
    </row>
    <row r="73" s="33" customFormat="1" ht="18" customHeight="1" spans="1:15">
      <c r="A73" s="60"/>
      <c r="B73" s="61"/>
      <c r="C73" s="62"/>
      <c r="D73" s="63"/>
      <c r="E73" s="70"/>
      <c r="F73" s="61"/>
      <c r="G73" s="54"/>
      <c r="H73" s="75"/>
      <c r="I73" s="61"/>
      <c r="J73" s="88"/>
      <c r="K73" s="46"/>
      <c r="L73" s="22"/>
      <c r="M73" s="105"/>
      <c r="N73" s="97"/>
      <c r="O73" s="102"/>
    </row>
    <row r="74" s="33" customFormat="1" ht="18" customHeight="1" spans="1:15">
      <c r="A74" s="60"/>
      <c r="B74" s="61"/>
      <c r="C74" s="62"/>
      <c r="D74" s="63"/>
      <c r="E74" s="70"/>
      <c r="F74" s="61"/>
      <c r="G74" s="54"/>
      <c r="H74" s="75"/>
      <c r="I74" s="61"/>
      <c r="J74" s="88"/>
      <c r="K74" s="46"/>
      <c r="L74" s="22"/>
      <c r="M74" s="105"/>
      <c r="N74" s="97"/>
      <c r="O74" s="102"/>
    </row>
    <row r="75" s="33" customFormat="1" ht="18" customHeight="1" spans="1:15">
      <c r="A75" s="60"/>
      <c r="B75" s="61"/>
      <c r="C75" s="62"/>
      <c r="D75" s="63"/>
      <c r="E75" s="70"/>
      <c r="F75" s="61"/>
      <c r="G75" s="54"/>
      <c r="H75" s="106">
        <v>44369</v>
      </c>
      <c r="I75" s="47">
        <v>-302085.27</v>
      </c>
      <c r="J75" s="97" t="s">
        <v>111</v>
      </c>
      <c r="K75" s="119" t="s">
        <v>116</v>
      </c>
      <c r="L75" s="22"/>
      <c r="M75" s="105"/>
      <c r="N75" s="97"/>
      <c r="O75" s="102"/>
    </row>
    <row r="76" s="33" customFormat="1" ht="18" customHeight="1" spans="1:15">
      <c r="A76" s="60"/>
      <c r="B76" s="61">
        <f t="shared" ref="B76:B92" si="6">ROUND(G76/(1+E76),2)</f>
        <v>40000</v>
      </c>
      <c r="C76" s="62"/>
      <c r="D76" s="63"/>
      <c r="E76" s="70"/>
      <c r="F76" s="61">
        <f t="shared" ref="F76:F92" si="7">ROUND(G76/(1+E76)*E76,2)</f>
        <v>0</v>
      </c>
      <c r="G76" s="54">
        <v>40000</v>
      </c>
      <c r="H76" s="75"/>
      <c r="I76" s="61">
        <v>40000</v>
      </c>
      <c r="J76" s="84" t="s">
        <v>105</v>
      </c>
      <c r="K76" s="13" t="s">
        <v>106</v>
      </c>
      <c r="L76" s="102"/>
      <c r="M76" s="97"/>
      <c r="N76" s="97"/>
      <c r="O76" s="102"/>
    </row>
    <row r="77" s="33" customFormat="1" ht="18" customHeight="1" spans="1:15">
      <c r="A77" s="76"/>
      <c r="B77" s="61">
        <f t="shared" si="6"/>
        <v>0</v>
      </c>
      <c r="C77" s="77"/>
      <c r="D77" s="78"/>
      <c r="E77" s="79"/>
      <c r="F77" s="61">
        <f t="shared" si="7"/>
        <v>0</v>
      </c>
      <c r="G77" s="80"/>
      <c r="H77" s="75"/>
      <c r="I77" s="61">
        <v>300</v>
      </c>
      <c r="J77" s="84" t="s">
        <v>105</v>
      </c>
      <c r="K77" s="96" t="s">
        <v>107</v>
      </c>
      <c r="L77" s="58"/>
      <c r="M77" s="97"/>
      <c r="N77" s="97"/>
      <c r="O77" s="102"/>
    </row>
    <row r="78" s="33" customFormat="1" ht="18" customHeight="1" spans="1:15">
      <c r="A78" s="76"/>
      <c r="B78" s="61">
        <f t="shared" si="6"/>
        <v>0</v>
      </c>
      <c r="C78" s="77"/>
      <c r="D78" s="78"/>
      <c r="E78" s="79"/>
      <c r="F78" s="61">
        <f t="shared" si="7"/>
        <v>0</v>
      </c>
      <c r="G78" s="80"/>
      <c r="H78" s="75"/>
      <c r="I78" s="61">
        <v>302085.26593415</v>
      </c>
      <c r="J78" s="88" t="s">
        <v>108</v>
      </c>
      <c r="K78" s="96" t="s">
        <v>109</v>
      </c>
      <c r="L78" s="58"/>
      <c r="M78" s="97"/>
      <c r="N78" s="97"/>
      <c r="O78" s="102"/>
    </row>
    <row r="79" s="33" customFormat="1" ht="18" customHeight="1" spans="1:15">
      <c r="A79" s="76"/>
      <c r="B79" s="61">
        <f t="shared" si="6"/>
        <v>0</v>
      </c>
      <c r="C79" s="77"/>
      <c r="D79" s="78"/>
      <c r="E79" s="79"/>
      <c r="F79" s="61">
        <f t="shared" si="7"/>
        <v>0</v>
      </c>
      <c r="G79" s="80"/>
      <c r="H79" s="75"/>
      <c r="I79" s="120">
        <v>1700.91743119266</v>
      </c>
      <c r="J79" s="121" t="s">
        <v>105</v>
      </c>
      <c r="K79" s="122" t="s">
        <v>110</v>
      </c>
      <c r="L79" s="58"/>
      <c r="M79" s="97"/>
      <c r="N79" s="97"/>
      <c r="O79" s="102"/>
    </row>
    <row r="80" s="33" customFormat="1" ht="18" customHeight="1" spans="1:15">
      <c r="A80" s="76"/>
      <c r="B80" s="61">
        <f t="shared" si="6"/>
        <v>0</v>
      </c>
      <c r="C80" s="77"/>
      <c r="D80" s="78"/>
      <c r="E80" s="79"/>
      <c r="F80" s="61">
        <f t="shared" si="7"/>
        <v>0</v>
      </c>
      <c r="G80" s="80"/>
      <c r="H80" s="75"/>
      <c r="I80" s="61">
        <v>100</v>
      </c>
      <c r="J80" s="84" t="s">
        <v>105</v>
      </c>
      <c r="K80" s="96" t="s">
        <v>107</v>
      </c>
      <c r="L80" s="22"/>
      <c r="M80" s="88"/>
      <c r="N80" s="97"/>
      <c r="O80" s="102"/>
    </row>
    <row r="81" s="33" customFormat="1" ht="18" customHeight="1" spans="1:15">
      <c r="A81" s="76"/>
      <c r="B81" s="61">
        <f t="shared" si="6"/>
        <v>0</v>
      </c>
      <c r="C81" s="77"/>
      <c r="D81" s="78"/>
      <c r="E81" s="79"/>
      <c r="F81" s="61">
        <f t="shared" si="7"/>
        <v>0</v>
      </c>
      <c r="G81" s="80"/>
      <c r="H81" s="75"/>
      <c r="I81" s="61">
        <v>100</v>
      </c>
      <c r="J81" s="84" t="s">
        <v>105</v>
      </c>
      <c r="K81" s="96" t="s">
        <v>107</v>
      </c>
      <c r="L81" s="22"/>
      <c r="M81" s="88"/>
      <c r="N81" s="97"/>
      <c r="O81" s="102"/>
    </row>
    <row r="82" s="33" customFormat="1" ht="18" customHeight="1" spans="1:15">
      <c r="A82" s="76"/>
      <c r="B82" s="61">
        <f t="shared" si="6"/>
        <v>0</v>
      </c>
      <c r="C82" s="77"/>
      <c r="D82" s="78"/>
      <c r="E82" s="79"/>
      <c r="F82" s="61">
        <f t="shared" si="7"/>
        <v>0</v>
      </c>
      <c r="G82" s="80"/>
      <c r="H82" s="75"/>
      <c r="I82" s="61">
        <v>100</v>
      </c>
      <c r="J82" s="84" t="s">
        <v>105</v>
      </c>
      <c r="K82" s="96" t="s">
        <v>107</v>
      </c>
      <c r="L82" s="102"/>
      <c r="M82" s="88"/>
      <c r="N82" s="97"/>
      <c r="O82" s="102"/>
    </row>
    <row r="83" s="33" customFormat="1" ht="18" customHeight="1" spans="1:15">
      <c r="A83" s="76"/>
      <c r="B83" s="61">
        <f t="shared" si="6"/>
        <v>0</v>
      </c>
      <c r="C83" s="77"/>
      <c r="D83" s="78"/>
      <c r="E83" s="79"/>
      <c r="F83" s="61">
        <f t="shared" si="7"/>
        <v>0</v>
      </c>
      <c r="G83" s="80"/>
      <c r="H83" s="75"/>
      <c r="I83" s="61">
        <v>-439211</v>
      </c>
      <c r="J83" s="88" t="s">
        <v>111</v>
      </c>
      <c r="K83" s="13" t="s">
        <v>112</v>
      </c>
      <c r="L83" s="102"/>
      <c r="M83" s="88"/>
      <c r="N83" s="97"/>
      <c r="O83" s="102"/>
    </row>
    <row r="84" s="33" customFormat="1" ht="18" customHeight="1" spans="1:15">
      <c r="A84" s="76"/>
      <c r="B84" s="61">
        <f t="shared" si="6"/>
        <v>0</v>
      </c>
      <c r="C84" s="77"/>
      <c r="D84" s="78"/>
      <c r="E84" s="79"/>
      <c r="F84" s="61">
        <f t="shared" si="7"/>
        <v>0</v>
      </c>
      <c r="G84" s="80"/>
      <c r="H84" s="75"/>
      <c r="I84" s="61">
        <v>300</v>
      </c>
      <c r="J84" s="84" t="s">
        <v>105</v>
      </c>
      <c r="K84" s="96" t="s">
        <v>107</v>
      </c>
      <c r="L84" s="22"/>
      <c r="M84" s="88"/>
      <c r="N84" s="97"/>
      <c r="O84" s="102"/>
    </row>
    <row r="85" s="31" customFormat="1" ht="18" customHeight="1" spans="1:15">
      <c r="A85" s="60"/>
      <c r="B85" s="61">
        <f t="shared" si="6"/>
        <v>0</v>
      </c>
      <c r="C85" s="71"/>
      <c r="D85" s="63"/>
      <c r="E85" s="72"/>
      <c r="F85" s="61">
        <f t="shared" si="7"/>
        <v>0</v>
      </c>
      <c r="G85" s="73"/>
      <c r="H85" s="51"/>
      <c r="I85" s="42">
        <v>200</v>
      </c>
      <c r="J85" s="84" t="s">
        <v>105</v>
      </c>
      <c r="K85" s="96" t="s">
        <v>107</v>
      </c>
      <c r="L85" s="58"/>
      <c r="M85" s="84"/>
      <c r="N85" s="88"/>
      <c r="O85" s="22"/>
    </row>
    <row r="86" s="31" customFormat="1" ht="18" customHeight="1" spans="1:15">
      <c r="A86" s="60"/>
      <c r="B86" s="61">
        <f t="shared" si="6"/>
        <v>60000</v>
      </c>
      <c r="C86" s="71"/>
      <c r="D86" s="63"/>
      <c r="E86" s="72"/>
      <c r="F86" s="61">
        <f t="shared" si="7"/>
        <v>0</v>
      </c>
      <c r="G86" s="73">
        <v>60000</v>
      </c>
      <c r="H86" s="51"/>
      <c r="I86" s="42">
        <f>G86</f>
        <v>60000</v>
      </c>
      <c r="J86" s="84" t="s">
        <v>105</v>
      </c>
      <c r="K86" s="13" t="s">
        <v>106</v>
      </c>
      <c r="L86" s="58"/>
      <c r="M86" s="84"/>
      <c r="N86" s="88"/>
      <c r="O86" s="22"/>
    </row>
    <row r="87" s="31" customFormat="1" ht="18" customHeight="1" spans="1:15">
      <c r="A87" s="60"/>
      <c r="B87" s="61">
        <f t="shared" si="6"/>
        <v>0</v>
      </c>
      <c r="C87" s="71"/>
      <c r="D87" s="63"/>
      <c r="E87" s="72"/>
      <c r="F87" s="61">
        <f t="shared" si="7"/>
        <v>0</v>
      </c>
      <c r="G87" s="73"/>
      <c r="H87" s="51"/>
      <c r="I87" s="42">
        <v>325230</v>
      </c>
      <c r="J87" s="88" t="s">
        <v>108</v>
      </c>
      <c r="K87" s="96" t="s">
        <v>113</v>
      </c>
      <c r="L87" s="58"/>
      <c r="M87" s="84"/>
      <c r="N87" s="88"/>
      <c r="O87" s="22"/>
    </row>
    <row r="88" s="31" customFormat="1" ht="18" customHeight="1" spans="1:15">
      <c r="A88" s="60"/>
      <c r="B88" s="42">
        <f t="shared" si="6"/>
        <v>0</v>
      </c>
      <c r="C88" s="71"/>
      <c r="D88" s="63"/>
      <c r="E88" s="72"/>
      <c r="F88" s="61">
        <f t="shared" si="7"/>
        <v>0</v>
      </c>
      <c r="G88" s="73"/>
      <c r="H88" s="51"/>
      <c r="I88" s="123">
        <v>2551.38</v>
      </c>
      <c r="J88" s="121" t="s">
        <v>105</v>
      </c>
      <c r="K88" s="122" t="s">
        <v>114</v>
      </c>
      <c r="L88" s="58"/>
      <c r="M88" s="84"/>
      <c r="N88" s="88"/>
      <c r="O88" s="22"/>
    </row>
    <row r="89" s="31" customFormat="1" ht="18" customHeight="1" spans="1:15">
      <c r="A89" s="60"/>
      <c r="B89" s="42">
        <f t="shared" si="6"/>
        <v>0</v>
      </c>
      <c r="C89" s="71"/>
      <c r="D89" s="63"/>
      <c r="E89" s="72"/>
      <c r="F89" s="42">
        <f t="shared" si="7"/>
        <v>0</v>
      </c>
      <c r="G89" s="73"/>
      <c r="H89" s="51" t="s">
        <v>115</v>
      </c>
      <c r="I89" s="42">
        <v>500</v>
      </c>
      <c r="J89" s="84" t="s">
        <v>105</v>
      </c>
      <c r="K89" s="96" t="s">
        <v>107</v>
      </c>
      <c r="L89" s="58">
        <f>I64-G64</f>
        <v>114000</v>
      </c>
      <c r="M89" s="84"/>
      <c r="N89" s="88"/>
      <c r="O89" s="22"/>
    </row>
    <row r="90" s="31" customFormat="1" ht="18" customHeight="1" spans="1:15">
      <c r="A90" s="60"/>
      <c r="B90" s="42">
        <f t="shared" si="6"/>
        <v>0</v>
      </c>
      <c r="C90" s="71"/>
      <c r="D90" s="63"/>
      <c r="E90" s="72"/>
      <c r="F90" s="42">
        <f t="shared" si="7"/>
        <v>0</v>
      </c>
      <c r="G90" s="73"/>
      <c r="H90" s="107" t="s">
        <v>115</v>
      </c>
      <c r="I90" s="124">
        <v>-122288</v>
      </c>
      <c r="J90" s="125" t="s">
        <v>111</v>
      </c>
      <c r="K90" s="126" t="s">
        <v>116</v>
      </c>
      <c r="L90" s="58"/>
      <c r="M90" s="84"/>
      <c r="N90" s="88"/>
      <c r="O90" s="22"/>
    </row>
    <row r="91" s="31" customFormat="1" ht="18" customHeight="1" spans="1:15">
      <c r="A91" s="60"/>
      <c r="B91" s="42">
        <f t="shared" si="6"/>
        <v>40000</v>
      </c>
      <c r="C91" s="71"/>
      <c r="D91" s="63"/>
      <c r="E91" s="72"/>
      <c r="F91" s="42">
        <f t="shared" si="7"/>
        <v>0</v>
      </c>
      <c r="G91" s="73">
        <v>40000</v>
      </c>
      <c r="H91" s="51" t="s">
        <v>115</v>
      </c>
      <c r="I91" s="42">
        <f>G91</f>
        <v>40000</v>
      </c>
      <c r="J91" s="84" t="s">
        <v>105</v>
      </c>
      <c r="K91" s="13" t="s">
        <v>106</v>
      </c>
      <c r="L91" s="58"/>
      <c r="M91" s="84"/>
      <c r="N91" s="88"/>
      <c r="O91" s="22"/>
    </row>
    <row r="92" s="31" customFormat="1" ht="18" customHeight="1" spans="1:15">
      <c r="A92" s="60"/>
      <c r="B92" s="42">
        <f t="shared" si="6"/>
        <v>0</v>
      </c>
      <c r="C92" s="71"/>
      <c r="D92" s="63"/>
      <c r="E92" s="72"/>
      <c r="F92" s="42">
        <f t="shared" si="7"/>
        <v>0</v>
      </c>
      <c r="G92" s="73"/>
      <c r="H92" s="51" t="s">
        <v>115</v>
      </c>
      <c r="I92" s="42">
        <v>173871</v>
      </c>
      <c r="J92" s="88" t="s">
        <v>108</v>
      </c>
      <c r="K92" s="96" t="s">
        <v>113</v>
      </c>
      <c r="L92" s="58"/>
      <c r="M92" s="84"/>
      <c r="N92" s="88"/>
      <c r="O92" s="22"/>
    </row>
    <row r="93" s="31" customFormat="1" ht="18" customHeight="1" spans="1:15">
      <c r="A93" s="60"/>
      <c r="B93" s="42">
        <f t="shared" ref="B93:B112" si="8">ROUND(G93/(1+E93),2)</f>
        <v>0</v>
      </c>
      <c r="C93" s="71"/>
      <c r="D93" s="74"/>
      <c r="E93" s="72"/>
      <c r="F93" s="42">
        <f t="shared" ref="F93:F112" si="9">ROUND(G93/(1+E93)*E93,2)</f>
        <v>0</v>
      </c>
      <c r="G93" s="73"/>
      <c r="H93" s="51" t="s">
        <v>115</v>
      </c>
      <c r="I93" s="123">
        <v>1701</v>
      </c>
      <c r="J93" s="121" t="s">
        <v>105</v>
      </c>
      <c r="K93" s="122" t="s">
        <v>114</v>
      </c>
      <c r="L93" s="58"/>
      <c r="M93" s="84"/>
      <c r="N93" s="88"/>
      <c r="O93" s="22"/>
    </row>
    <row r="94" s="31" customFormat="1" ht="18" customHeight="1" spans="1:15">
      <c r="A94" s="60"/>
      <c r="B94" s="42">
        <f t="shared" si="8"/>
        <v>0</v>
      </c>
      <c r="C94" s="71"/>
      <c r="D94" s="74"/>
      <c r="E94" s="72"/>
      <c r="F94" s="42">
        <f t="shared" si="9"/>
        <v>0</v>
      </c>
      <c r="G94" s="73"/>
      <c r="H94" s="51" t="s">
        <v>115</v>
      </c>
      <c r="I94" s="123">
        <v>7690</v>
      </c>
      <c r="J94" s="127" t="s">
        <v>105</v>
      </c>
      <c r="K94" s="122" t="s">
        <v>117</v>
      </c>
      <c r="L94" s="58"/>
      <c r="M94" s="84" t="s">
        <v>32</v>
      </c>
      <c r="N94" s="88"/>
      <c r="O94" s="22"/>
    </row>
    <row r="95" s="31" customFormat="1" ht="18" customHeight="1" spans="1:15">
      <c r="A95" s="60"/>
      <c r="B95" s="61">
        <f t="shared" si="8"/>
        <v>0</v>
      </c>
      <c r="C95" s="62"/>
      <c r="D95" s="63"/>
      <c r="E95" s="70"/>
      <c r="F95" s="42">
        <f t="shared" si="9"/>
        <v>0</v>
      </c>
      <c r="G95" s="54"/>
      <c r="H95" s="51" t="s">
        <v>118</v>
      </c>
      <c r="I95" s="128">
        <f>-345147-8861</f>
        <v>-354008</v>
      </c>
      <c r="J95" s="129" t="s">
        <v>111</v>
      </c>
      <c r="K95" s="130" t="s">
        <v>116</v>
      </c>
      <c r="L95" s="58"/>
      <c r="M95" s="84"/>
      <c r="N95" s="88"/>
      <c r="O95" s="22"/>
    </row>
    <row r="96" s="31" customFormat="1" ht="18" customHeight="1" spans="1:15">
      <c r="A96" s="60"/>
      <c r="B96" s="61">
        <f t="shared" si="8"/>
        <v>0</v>
      </c>
      <c r="C96" s="62"/>
      <c r="D96" s="63"/>
      <c r="E96" s="70"/>
      <c r="F96" s="42">
        <f t="shared" si="9"/>
        <v>0</v>
      </c>
      <c r="G96" s="54"/>
      <c r="H96" s="51" t="s">
        <v>119</v>
      </c>
      <c r="I96" s="128">
        <v>407545</v>
      </c>
      <c r="J96" s="129" t="s">
        <v>108</v>
      </c>
      <c r="K96" s="130" t="s">
        <v>113</v>
      </c>
      <c r="L96" s="58"/>
      <c r="M96" s="84"/>
      <c r="N96" s="88"/>
      <c r="O96" s="22"/>
    </row>
    <row r="97" s="31" customFormat="1" ht="18" customHeight="1" spans="1:15">
      <c r="A97" s="60"/>
      <c r="B97" s="61">
        <f t="shared" si="8"/>
        <v>0</v>
      </c>
      <c r="C97" s="62"/>
      <c r="D97" s="63"/>
      <c r="E97" s="64"/>
      <c r="F97" s="61">
        <f t="shared" si="9"/>
        <v>0</v>
      </c>
      <c r="G97" s="54"/>
      <c r="H97" s="51" t="s">
        <v>119</v>
      </c>
      <c r="I97" s="123">
        <v>2552</v>
      </c>
      <c r="J97" s="121" t="s">
        <v>105</v>
      </c>
      <c r="K97" s="122" t="s">
        <v>114</v>
      </c>
      <c r="L97" s="58"/>
      <c r="M97" s="84"/>
      <c r="N97" s="88"/>
      <c r="O97" s="22"/>
    </row>
    <row r="98" s="31" customFormat="1" ht="18" customHeight="1" spans="1:15">
      <c r="A98" s="60"/>
      <c r="B98" s="61">
        <f t="shared" si="8"/>
        <v>0</v>
      </c>
      <c r="C98" s="62"/>
      <c r="D98" s="63"/>
      <c r="E98" s="64"/>
      <c r="F98" s="61">
        <f t="shared" si="9"/>
        <v>0</v>
      </c>
      <c r="G98" s="54"/>
      <c r="H98" s="51" t="s">
        <v>120</v>
      </c>
      <c r="I98" s="42">
        <v>-412560</v>
      </c>
      <c r="J98" s="84" t="s">
        <v>111</v>
      </c>
      <c r="K98" s="96" t="s">
        <v>121</v>
      </c>
      <c r="L98" s="58"/>
      <c r="M98" s="84"/>
      <c r="N98" s="88"/>
      <c r="O98" s="22"/>
    </row>
    <row r="99" s="31" customFormat="1" ht="18" customHeight="1" spans="1:15">
      <c r="A99" s="60"/>
      <c r="B99" s="61">
        <f t="shared" si="8"/>
        <v>0</v>
      </c>
      <c r="C99" s="62"/>
      <c r="D99" s="63"/>
      <c r="E99" s="64"/>
      <c r="F99" s="61">
        <f t="shared" si="9"/>
        <v>0</v>
      </c>
      <c r="G99" s="54"/>
      <c r="H99" s="51" t="s">
        <v>122</v>
      </c>
      <c r="I99" s="42">
        <v>650</v>
      </c>
      <c r="J99" s="84" t="s">
        <v>105</v>
      </c>
      <c r="K99" s="96" t="s">
        <v>123</v>
      </c>
      <c r="L99" s="58"/>
      <c r="M99" s="84"/>
      <c r="N99" s="88"/>
      <c r="O99" s="22"/>
    </row>
    <row r="100" s="31" customFormat="1" ht="18" customHeight="1" spans="1:15">
      <c r="A100" s="60"/>
      <c r="B100" s="61">
        <f t="shared" si="8"/>
        <v>0</v>
      </c>
      <c r="C100" s="62"/>
      <c r="D100" s="63"/>
      <c r="E100" s="64"/>
      <c r="F100" s="61">
        <f t="shared" si="9"/>
        <v>0</v>
      </c>
      <c r="G100" s="54"/>
      <c r="H100" s="51" t="s">
        <v>122</v>
      </c>
      <c r="I100" s="42">
        <v>20000</v>
      </c>
      <c r="J100" s="84" t="s">
        <v>108</v>
      </c>
      <c r="K100" s="96" t="s">
        <v>125</v>
      </c>
      <c r="L100" s="58"/>
      <c r="M100" s="84"/>
      <c r="N100" s="88"/>
      <c r="O100" s="22"/>
    </row>
    <row r="101" s="31" customFormat="1" ht="18" customHeight="1" spans="1:15">
      <c r="A101" s="60"/>
      <c r="B101" s="61">
        <f t="shared" si="8"/>
        <v>0</v>
      </c>
      <c r="C101" s="62"/>
      <c r="D101" s="63"/>
      <c r="E101" s="64"/>
      <c r="F101" s="61">
        <f t="shared" si="9"/>
        <v>0</v>
      </c>
      <c r="G101" s="54"/>
      <c r="H101" s="51" t="s">
        <v>122</v>
      </c>
      <c r="I101" s="42">
        <v>421421</v>
      </c>
      <c r="J101" s="84" t="s">
        <v>108</v>
      </c>
      <c r="K101" s="96" t="s">
        <v>113</v>
      </c>
      <c r="L101" s="58"/>
      <c r="M101" s="84"/>
      <c r="N101" s="88"/>
      <c r="O101" s="22"/>
    </row>
    <row r="102" s="31" customFormat="1" ht="18" customHeight="1" spans="1:15">
      <c r="A102" s="60"/>
      <c r="B102" s="61">
        <f t="shared" si="8"/>
        <v>0</v>
      </c>
      <c r="C102" s="62"/>
      <c r="D102" s="63"/>
      <c r="E102" s="64"/>
      <c r="F102" s="61">
        <f t="shared" si="9"/>
        <v>0</v>
      </c>
      <c r="G102" s="54"/>
      <c r="H102" s="51" t="s">
        <v>122</v>
      </c>
      <c r="I102" s="123">
        <v>1701</v>
      </c>
      <c r="J102" s="127" t="s">
        <v>105</v>
      </c>
      <c r="K102" s="131" t="s">
        <v>114</v>
      </c>
      <c r="L102" s="58"/>
      <c r="M102" s="84"/>
      <c r="N102" s="88"/>
      <c r="O102" s="22"/>
    </row>
    <row r="103" s="31" customFormat="1" ht="18" customHeight="1" spans="1:15">
      <c r="A103" s="60"/>
      <c r="B103" s="61">
        <f t="shared" si="8"/>
        <v>0</v>
      </c>
      <c r="C103" s="62"/>
      <c r="D103" s="63"/>
      <c r="E103" s="64"/>
      <c r="F103" s="61">
        <f t="shared" si="9"/>
        <v>0</v>
      </c>
      <c r="G103" s="54"/>
      <c r="H103" s="107" t="s">
        <v>122</v>
      </c>
      <c r="I103" s="132">
        <v>-127613.44</v>
      </c>
      <c r="J103" s="133" t="s">
        <v>126</v>
      </c>
      <c r="K103" s="134" t="s">
        <v>127</v>
      </c>
      <c r="L103" s="58"/>
      <c r="M103" s="84"/>
      <c r="N103" s="88"/>
      <c r="O103" s="22"/>
    </row>
    <row r="104" s="31" customFormat="1" ht="18" customHeight="1" spans="1:15">
      <c r="A104" s="60"/>
      <c r="B104" s="61">
        <f t="shared" si="8"/>
        <v>0</v>
      </c>
      <c r="C104" s="62"/>
      <c r="D104" s="63"/>
      <c r="E104" s="64"/>
      <c r="F104" s="61">
        <f t="shared" si="9"/>
        <v>0</v>
      </c>
      <c r="G104" s="54"/>
      <c r="H104" s="107" t="s">
        <v>122</v>
      </c>
      <c r="I104" s="124">
        <v>127613.44</v>
      </c>
      <c r="J104" s="135" t="s">
        <v>105</v>
      </c>
      <c r="K104" s="126" t="s">
        <v>128</v>
      </c>
      <c r="L104" s="58"/>
      <c r="M104" s="84"/>
      <c r="N104" s="88"/>
      <c r="O104" s="22"/>
    </row>
    <row r="105" s="31" customFormat="1" ht="18" customHeight="1" spans="1:15">
      <c r="A105" s="60"/>
      <c r="B105" s="61">
        <f t="shared" si="8"/>
        <v>0</v>
      </c>
      <c r="C105" s="62"/>
      <c r="D105" s="63"/>
      <c r="E105" s="64"/>
      <c r="F105" s="61">
        <f t="shared" si="9"/>
        <v>0</v>
      </c>
      <c r="G105" s="54"/>
      <c r="H105" s="51"/>
      <c r="I105" s="123">
        <v>1751</v>
      </c>
      <c r="J105" s="127" t="s">
        <v>105</v>
      </c>
      <c r="K105" s="122" t="s">
        <v>114</v>
      </c>
      <c r="L105" s="22" t="s">
        <v>129</v>
      </c>
      <c r="M105" s="88"/>
      <c r="N105" s="88"/>
      <c r="O105" s="22"/>
    </row>
    <row r="106" s="31" customFormat="1" ht="18" customHeight="1" spans="1:15">
      <c r="A106" s="60"/>
      <c r="B106" s="61">
        <f t="shared" si="8"/>
        <v>0</v>
      </c>
      <c r="C106" s="62"/>
      <c r="D106" s="63"/>
      <c r="E106" s="64"/>
      <c r="F106" s="61">
        <f t="shared" si="9"/>
        <v>0</v>
      </c>
      <c r="G106" s="54"/>
      <c r="H106" s="51"/>
      <c r="I106" s="128">
        <v>20700</v>
      </c>
      <c r="J106" s="136" t="s">
        <v>108</v>
      </c>
      <c r="K106" s="137" t="s">
        <v>130</v>
      </c>
      <c r="L106" s="22"/>
      <c r="M106" s="88"/>
      <c r="N106" s="88"/>
      <c r="O106" s="22"/>
    </row>
    <row r="107" s="31" customFormat="1" ht="18" customHeight="1" spans="1:15">
      <c r="A107" s="60"/>
      <c r="B107" s="61">
        <f t="shared" si="8"/>
        <v>0</v>
      </c>
      <c r="C107" s="62"/>
      <c r="D107" s="63"/>
      <c r="E107" s="64"/>
      <c r="F107" s="61">
        <f t="shared" si="9"/>
        <v>0</v>
      </c>
      <c r="G107" s="54"/>
      <c r="H107" s="51"/>
      <c r="I107" s="128">
        <v>10000</v>
      </c>
      <c r="J107" s="136" t="s">
        <v>108</v>
      </c>
      <c r="K107" s="137" t="s">
        <v>125</v>
      </c>
      <c r="L107" s="22"/>
      <c r="M107" s="88"/>
      <c r="N107" s="88"/>
      <c r="O107" s="22"/>
    </row>
    <row r="108" s="31" customFormat="1" ht="18" customHeight="1" spans="1:15">
      <c r="A108" s="60"/>
      <c r="B108" s="61">
        <f t="shared" si="8"/>
        <v>0</v>
      </c>
      <c r="C108" s="62"/>
      <c r="D108" s="63"/>
      <c r="E108" s="64"/>
      <c r="F108" s="61">
        <f t="shared" si="9"/>
        <v>0</v>
      </c>
      <c r="G108" s="54"/>
      <c r="H108" s="51"/>
      <c r="I108" s="128">
        <v>500</v>
      </c>
      <c r="J108" s="136" t="s">
        <v>105</v>
      </c>
      <c r="K108" s="137" t="s">
        <v>131</v>
      </c>
      <c r="L108" s="22"/>
      <c r="M108" s="88"/>
      <c r="N108" s="88"/>
      <c r="O108" s="22"/>
    </row>
    <row r="109" s="31" customFormat="1" ht="18" customHeight="1" spans="1:15">
      <c r="A109" s="60"/>
      <c r="B109" s="61">
        <f t="shared" si="8"/>
        <v>0</v>
      </c>
      <c r="C109" s="62"/>
      <c r="D109" s="63"/>
      <c r="E109" s="64"/>
      <c r="F109" s="61">
        <f t="shared" si="9"/>
        <v>0</v>
      </c>
      <c r="G109" s="54"/>
      <c r="H109" s="51"/>
      <c r="I109" s="123">
        <v>846</v>
      </c>
      <c r="J109" s="127" t="s">
        <v>105</v>
      </c>
      <c r="K109" s="122" t="s">
        <v>117</v>
      </c>
      <c r="L109" s="22"/>
      <c r="M109" s="88"/>
      <c r="N109" s="88"/>
      <c r="O109" s="22"/>
    </row>
    <row r="110" s="31" customFormat="1" ht="18" customHeight="1" spans="1:15">
      <c r="A110" s="60"/>
      <c r="B110" s="61">
        <f t="shared" si="8"/>
        <v>0</v>
      </c>
      <c r="C110" s="62"/>
      <c r="D110" s="63"/>
      <c r="E110" s="64"/>
      <c r="F110" s="61">
        <f t="shared" si="9"/>
        <v>0</v>
      </c>
      <c r="G110" s="54"/>
      <c r="H110" s="51"/>
      <c r="I110" s="128">
        <v>550</v>
      </c>
      <c r="J110" s="136" t="s">
        <v>105</v>
      </c>
      <c r="K110" s="137" t="s">
        <v>131</v>
      </c>
      <c r="L110" s="22"/>
      <c r="M110" s="88"/>
      <c r="N110" s="88"/>
      <c r="O110" s="22"/>
    </row>
    <row r="111" s="31" customFormat="1" ht="18" customHeight="1" spans="1:15">
      <c r="A111" s="60"/>
      <c r="B111" s="61">
        <f t="shared" si="8"/>
        <v>0</v>
      </c>
      <c r="C111" s="62"/>
      <c r="D111" s="63"/>
      <c r="E111" s="64"/>
      <c r="F111" s="61">
        <f t="shared" si="9"/>
        <v>0</v>
      </c>
      <c r="G111" s="54"/>
      <c r="H111" s="51"/>
      <c r="I111" s="123">
        <v>6597</v>
      </c>
      <c r="J111" s="127" t="s">
        <v>105</v>
      </c>
      <c r="K111" s="122" t="s">
        <v>117</v>
      </c>
      <c r="L111" s="22"/>
      <c r="M111" s="88"/>
      <c r="N111" s="88"/>
      <c r="O111" s="22"/>
    </row>
    <row r="112" s="31" customFormat="1" ht="18" customHeight="1" spans="1:17">
      <c r="A112" s="60"/>
      <c r="B112" s="61">
        <f t="shared" si="8"/>
        <v>181400</v>
      </c>
      <c r="C112" s="62"/>
      <c r="D112" s="63"/>
      <c r="E112" s="64"/>
      <c r="F112" s="61">
        <f t="shared" si="9"/>
        <v>0</v>
      </c>
      <c r="G112" s="54">
        <f>40000+41400+40000+60000</f>
        <v>181400</v>
      </c>
      <c r="H112" s="51"/>
      <c r="I112" s="42">
        <f>G112</f>
        <v>181400</v>
      </c>
      <c r="J112" s="84" t="s">
        <v>105</v>
      </c>
      <c r="K112" s="13" t="s">
        <v>106</v>
      </c>
      <c r="L112" s="22"/>
      <c r="M112" s="88"/>
      <c r="N112" s="88"/>
      <c r="O112" s="22"/>
      <c r="Q112" s="142"/>
    </row>
    <row r="113" s="30" customFormat="1" ht="18" customHeight="1" spans="1:15">
      <c r="A113" s="57" t="s">
        <v>22</v>
      </c>
      <c r="B113" s="108">
        <f>SUM(B19:B112)</f>
        <v>14714269.02</v>
      </c>
      <c r="C113" s="57"/>
      <c r="D113" s="109"/>
      <c r="E113" s="109"/>
      <c r="F113" s="110">
        <f>SUM(F19:F112)</f>
        <v>1172072.64</v>
      </c>
      <c r="G113" s="111">
        <f>SUM(G19:G112)</f>
        <v>15886341.66</v>
      </c>
      <c r="H113" s="112"/>
      <c r="I113" s="57">
        <f>SUM(I19:I112)</f>
        <v>15278581.3333653</v>
      </c>
      <c r="J113" s="138"/>
      <c r="K113" s="109"/>
      <c r="L113" s="58"/>
      <c r="M113" s="84"/>
      <c r="N113" s="84"/>
      <c r="O113" s="58"/>
    </row>
    <row r="114" s="30" customFormat="1" ht="18" customHeight="1" spans="1:14">
      <c r="A114" s="113" t="s">
        <v>132</v>
      </c>
      <c r="B114" s="113">
        <f>B16-B113</f>
        <v>-13284.7162634004</v>
      </c>
      <c r="C114" s="113"/>
      <c r="D114" s="114"/>
      <c r="E114" s="114"/>
      <c r="F114" s="113"/>
      <c r="G114" s="113">
        <f>G16-G113</f>
        <v>183658.339999998</v>
      </c>
      <c r="H114" s="50" t="s">
        <v>133</v>
      </c>
      <c r="I114" s="57">
        <f>I16-I113</f>
        <v>791418.666634655</v>
      </c>
      <c r="J114" s="139"/>
      <c r="K114" s="140">
        <f>I98+I101+I96+I95+I92+I90+I87+I83+I78+I75</f>
        <v>-0.00406584999291226</v>
      </c>
      <c r="M114" s="139"/>
      <c r="N114" s="139"/>
    </row>
    <row r="115" s="30" customFormat="1" ht="18" customHeight="1" spans="1:10">
      <c r="A115" s="34" t="s">
        <v>134</v>
      </c>
      <c r="B115" s="35"/>
      <c r="C115" s="34"/>
      <c r="D115" s="36"/>
      <c r="E115" s="36"/>
      <c r="F115" s="35"/>
      <c r="G115" s="35"/>
      <c r="H115" s="36"/>
      <c r="I115" s="35"/>
      <c r="J115" s="37"/>
    </row>
    <row r="116" s="30" customFormat="1" ht="18" customHeight="1" spans="1:15">
      <c r="A116" s="50" t="s">
        <v>135</v>
      </c>
      <c r="B116" s="2" t="s">
        <v>136</v>
      </c>
      <c r="C116" s="58"/>
      <c r="D116" s="50" t="s">
        <v>135</v>
      </c>
      <c r="E116" s="49" t="s">
        <v>16</v>
      </c>
      <c r="F116" s="2" t="s">
        <v>136</v>
      </c>
      <c r="G116" s="2" t="s">
        <v>137</v>
      </c>
      <c r="H116" s="2" t="s">
        <v>138</v>
      </c>
      <c r="I116" s="2" t="s">
        <v>139</v>
      </c>
      <c r="J116" s="37"/>
      <c r="K116" s="2" t="s">
        <v>140</v>
      </c>
      <c r="L116" s="2" t="s">
        <v>141</v>
      </c>
      <c r="M116" s="2" t="s">
        <v>142</v>
      </c>
      <c r="N116" s="2" t="s">
        <v>143</v>
      </c>
      <c r="O116" s="2" t="s">
        <v>144</v>
      </c>
    </row>
    <row r="117" s="30" customFormat="1" ht="17" customHeight="1" spans="1:17">
      <c r="A117" s="58" t="s">
        <v>145</v>
      </c>
      <c r="B117" s="61">
        <f>(B16-B113)*0.25</f>
        <v>-3321.1790658501</v>
      </c>
      <c r="C117" s="58"/>
      <c r="D117" s="40" t="s">
        <v>146</v>
      </c>
      <c r="E117" s="84" t="s">
        <v>147</v>
      </c>
      <c r="F117" s="115">
        <f>F16-F113</f>
        <v>-97076.6298113291</v>
      </c>
      <c r="G117" s="115">
        <f>F7-F22</f>
        <v>5505.87108108106</v>
      </c>
      <c r="H117" s="115">
        <v>0</v>
      </c>
      <c r="I117" s="3">
        <v>0</v>
      </c>
      <c r="J117" s="37"/>
      <c r="K117" s="115">
        <v>0</v>
      </c>
      <c r="L117" s="115">
        <v>0</v>
      </c>
      <c r="M117" s="115">
        <v>0</v>
      </c>
      <c r="N117" s="115">
        <v>0</v>
      </c>
      <c r="O117" s="115">
        <v>0</v>
      </c>
      <c r="Q117" s="30" t="s">
        <v>32</v>
      </c>
    </row>
    <row r="118" s="30" customFormat="1" ht="18" customHeight="1" spans="1:15">
      <c r="A118" s="58" t="s">
        <v>148</v>
      </c>
      <c r="B118" s="116" t="s">
        <v>149</v>
      </c>
      <c r="C118" s="58"/>
      <c r="D118" s="117" t="s">
        <v>150</v>
      </c>
      <c r="E118" s="43">
        <v>0.05</v>
      </c>
      <c r="F118" s="42">
        <f>F117*E118</f>
        <v>-4853.83149056645</v>
      </c>
      <c r="G118" s="42">
        <f>G117*E118</f>
        <v>275.293554054053</v>
      </c>
      <c r="H118" s="42">
        <v>0</v>
      </c>
      <c r="I118" s="42">
        <v>0</v>
      </c>
      <c r="J118" s="37"/>
      <c r="K118" s="42">
        <f>K117*E118</f>
        <v>0</v>
      </c>
      <c r="L118" s="42">
        <v>0</v>
      </c>
      <c r="M118" s="42">
        <f>M117*E118</f>
        <v>0</v>
      </c>
      <c r="N118" s="42">
        <v>0</v>
      </c>
      <c r="O118" s="42">
        <v>0</v>
      </c>
    </row>
    <row r="119" s="30" customFormat="1" ht="18" customHeight="1" spans="1:15">
      <c r="A119" s="58" t="s">
        <v>151</v>
      </c>
      <c r="B119" s="116"/>
      <c r="C119" s="58"/>
      <c r="D119" s="117" t="s">
        <v>152</v>
      </c>
      <c r="E119" s="43">
        <v>0.03</v>
      </c>
      <c r="F119" s="42">
        <f>F117*E119</f>
        <v>-2912.29889433987</v>
      </c>
      <c r="G119" s="42">
        <f>G117*E119</f>
        <v>165.176132432432</v>
      </c>
      <c r="H119" s="42">
        <v>0</v>
      </c>
      <c r="I119" s="42">
        <v>0</v>
      </c>
      <c r="J119" s="37"/>
      <c r="K119" s="42">
        <f>K117*E119</f>
        <v>0</v>
      </c>
      <c r="L119" s="42">
        <v>0</v>
      </c>
      <c r="M119" s="42">
        <f>M117*E119</f>
        <v>0</v>
      </c>
      <c r="N119" s="42">
        <v>0</v>
      </c>
      <c r="O119" s="42">
        <v>0</v>
      </c>
    </row>
    <row r="120" s="30" customFormat="1" ht="18" customHeight="1" spans="1:16">
      <c r="A120" s="58"/>
      <c r="B120" s="42"/>
      <c r="C120" s="58"/>
      <c r="D120" s="117" t="s">
        <v>153</v>
      </c>
      <c r="E120" s="43">
        <v>0.02</v>
      </c>
      <c r="F120" s="42">
        <f>F117*E120</f>
        <v>-1941.53259622658</v>
      </c>
      <c r="G120" s="42">
        <f>G117*E120</f>
        <v>110.117421621621</v>
      </c>
      <c r="H120" s="42">
        <v>0</v>
      </c>
      <c r="I120" s="42">
        <v>0</v>
      </c>
      <c r="J120" s="37"/>
      <c r="K120" s="42">
        <f>K117*E120</f>
        <v>0</v>
      </c>
      <c r="L120" s="42">
        <v>0</v>
      </c>
      <c r="M120" s="42">
        <f>M117*E120</f>
        <v>0</v>
      </c>
      <c r="N120" s="42">
        <v>0</v>
      </c>
      <c r="O120" s="42">
        <v>0</v>
      </c>
      <c r="P120" s="58"/>
    </row>
    <row r="121" s="30" customFormat="1" ht="18" customHeight="1" spans="1:15">
      <c r="A121" s="56" t="s">
        <v>154</v>
      </c>
      <c r="B121" s="108">
        <f t="shared" ref="B121:H121" si="10">SUM(B117:B120)</f>
        <v>-3321.1790658501</v>
      </c>
      <c r="C121" s="58"/>
      <c r="D121" s="56" t="s">
        <v>154</v>
      </c>
      <c r="E121" s="56"/>
      <c r="F121" s="110">
        <f t="shared" si="10"/>
        <v>-106784.292792462</v>
      </c>
      <c r="G121" s="110">
        <f t="shared" si="10"/>
        <v>6056.45818918916</v>
      </c>
      <c r="H121" s="110">
        <f t="shared" si="10"/>
        <v>0</v>
      </c>
      <c r="I121" s="110">
        <v>0</v>
      </c>
      <c r="J121" s="37"/>
      <c r="K121" s="110">
        <f>SUM(K117:K120)</f>
        <v>0</v>
      </c>
      <c r="L121" s="115">
        <v>0</v>
      </c>
      <c r="M121" s="110">
        <f>SUM(M117:M120)</f>
        <v>0</v>
      </c>
      <c r="N121" s="110">
        <v>0</v>
      </c>
      <c r="O121" s="110">
        <v>0</v>
      </c>
    </row>
    <row r="122" s="30" customFormat="1" ht="18" customHeight="1" spans="1:15">
      <c r="A122" s="34"/>
      <c r="B122" s="35"/>
      <c r="C122" s="34"/>
      <c r="D122" s="42" t="s">
        <v>148</v>
      </c>
      <c r="E122" s="96">
        <v>0.0003</v>
      </c>
      <c r="F122" s="42">
        <f>G16*E122</f>
        <v>4821</v>
      </c>
      <c r="G122" s="42" t="s">
        <v>155</v>
      </c>
      <c r="H122" s="42">
        <f>G8*E122</f>
        <v>300</v>
      </c>
      <c r="I122" s="42">
        <f>G9*E122</f>
        <v>621</v>
      </c>
      <c r="J122" s="37"/>
      <c r="K122" s="42">
        <f>G10*E122</f>
        <v>600</v>
      </c>
      <c r="L122" s="42">
        <f>G11*E122</f>
        <v>900</v>
      </c>
      <c r="M122" s="42">
        <f>G12*E122</f>
        <v>600</v>
      </c>
      <c r="N122" s="42">
        <f>G13*E122</f>
        <v>900</v>
      </c>
      <c r="O122" s="42">
        <f>G14*E122</f>
        <v>600</v>
      </c>
    </row>
    <row r="123" s="30" customFormat="1" ht="18" customHeight="1" spans="1:15">
      <c r="A123" s="34"/>
      <c r="B123" s="35"/>
      <c r="C123" s="34"/>
      <c r="D123" s="42" t="s">
        <v>151</v>
      </c>
      <c r="E123" s="96">
        <v>0.0006</v>
      </c>
      <c r="F123" s="42">
        <f>B16*E123</f>
        <v>8820.59058224196</v>
      </c>
      <c r="G123" s="42">
        <f>B7*E123</f>
        <v>540.54054054054</v>
      </c>
      <c r="H123" s="42">
        <f>B8*E123</f>
        <v>545.454545454545</v>
      </c>
      <c r="I123" s="42">
        <f>B9*E123</f>
        <v>1129.09090909091</v>
      </c>
      <c r="J123" s="37"/>
      <c r="K123" s="42">
        <f>B10*E123</f>
        <v>1100.91743119266</v>
      </c>
      <c r="L123" s="42">
        <f>B11*E123</f>
        <v>1651.37614678899</v>
      </c>
      <c r="M123" s="42">
        <f>B12*E123</f>
        <v>1100.91743119266</v>
      </c>
      <c r="N123" s="42">
        <f>B13*E123</f>
        <v>1651.37614678899</v>
      </c>
      <c r="O123" s="42">
        <f>B14*E123</f>
        <v>1100.91743119266</v>
      </c>
    </row>
    <row r="124" s="30" customFormat="1" ht="18" customHeight="1" spans="1:15">
      <c r="A124" s="34"/>
      <c r="B124" s="35"/>
      <c r="C124" s="34"/>
      <c r="D124" s="57" t="s">
        <v>22</v>
      </c>
      <c r="E124" s="57"/>
      <c r="F124" s="57">
        <f>F121+F122+F123</f>
        <v>-93142.70221022</v>
      </c>
      <c r="G124" s="57">
        <f>G121+G123</f>
        <v>6596.9987297297</v>
      </c>
      <c r="H124" s="57">
        <f t="shared" ref="H124:K124" si="11">SUM(H122:H123)</f>
        <v>845.454545454545</v>
      </c>
      <c r="I124" s="57">
        <f t="shared" si="11"/>
        <v>1750.09090909091</v>
      </c>
      <c r="J124" s="37"/>
      <c r="K124" s="141">
        <f t="shared" si="11"/>
        <v>1700.91743119266</v>
      </c>
      <c r="L124" s="141">
        <f>L122+L123</f>
        <v>2551.37614678899</v>
      </c>
      <c r="M124" s="141">
        <f>M121+M122+M123</f>
        <v>1700.91743119266</v>
      </c>
      <c r="N124" s="141">
        <f t="shared" ref="L124:O124" si="12">N122+N123</f>
        <v>2551.37614678899</v>
      </c>
      <c r="O124" s="141">
        <f t="shared" si="12"/>
        <v>1700.91743119266</v>
      </c>
    </row>
    <row r="125" s="30" customFormat="1" ht="18" customHeight="1" spans="1:15">
      <c r="A125" s="34"/>
      <c r="B125" s="35"/>
      <c r="C125" s="34"/>
      <c r="D125" s="50" t="s">
        <v>109</v>
      </c>
      <c r="E125" s="49">
        <v>0.25</v>
      </c>
      <c r="F125" s="49"/>
      <c r="G125" s="49"/>
      <c r="H125" s="49"/>
      <c r="I125" s="49"/>
      <c r="J125" s="37"/>
      <c r="K125" s="42"/>
      <c r="L125" s="42"/>
      <c r="M125" s="42"/>
      <c r="N125" s="42"/>
      <c r="O125" s="42">
        <f>B114*E125</f>
        <v>-3321.1790658501</v>
      </c>
    </row>
    <row r="126" s="30" customFormat="1" ht="18" customHeight="1" spans="1:10">
      <c r="A126" s="34"/>
      <c r="B126" s="35"/>
      <c r="C126" s="34"/>
      <c r="D126" s="36"/>
      <c r="E126" s="36"/>
      <c r="F126" s="35"/>
      <c r="G126" s="35"/>
      <c r="H126" s="36"/>
      <c r="I126" s="35"/>
      <c r="J126" s="37"/>
    </row>
    <row r="127" s="30" customFormat="1" ht="18" customHeight="1" spans="1:10">
      <c r="A127" s="34"/>
      <c r="B127" s="35"/>
      <c r="C127" s="34"/>
      <c r="D127" s="36"/>
      <c r="E127" s="36"/>
      <c r="F127" s="35"/>
      <c r="G127" s="35"/>
      <c r="H127" s="36"/>
      <c r="I127" s="35"/>
      <c r="J127" s="37"/>
    </row>
    <row r="128" s="30" customFormat="1" ht="39" customHeight="1" spans="1:10">
      <c r="A128" s="34"/>
      <c r="B128" s="35"/>
      <c r="C128" s="34"/>
      <c r="D128" s="44" t="s">
        <v>156</v>
      </c>
      <c r="E128" s="118" t="s">
        <v>135</v>
      </c>
      <c r="F128" s="49" t="s">
        <v>16</v>
      </c>
      <c r="G128" s="2" t="s">
        <v>157</v>
      </c>
      <c r="H128" s="36"/>
      <c r="I128" s="35"/>
      <c r="J128" s="37"/>
    </row>
    <row r="129" s="30" customFormat="1" ht="39" customHeight="1" spans="1:10">
      <c r="A129" s="34"/>
      <c r="B129" s="35"/>
      <c r="C129" s="34"/>
      <c r="D129" s="44"/>
      <c r="E129" s="143" t="s">
        <v>146</v>
      </c>
      <c r="F129" s="84" t="s">
        <v>147</v>
      </c>
      <c r="G129" s="3">
        <v>116012.214245204</v>
      </c>
      <c r="H129" s="36"/>
      <c r="I129" s="35"/>
      <c r="J129" s="37"/>
    </row>
    <row r="130" s="30" customFormat="1" ht="39" customHeight="1" spans="1:11">
      <c r="A130" s="34"/>
      <c r="B130" s="35"/>
      <c r="C130" s="34"/>
      <c r="D130" s="44"/>
      <c r="E130" s="144" t="s">
        <v>150</v>
      </c>
      <c r="F130" s="43">
        <v>0.05</v>
      </c>
      <c r="G130" s="4">
        <v>5800.61071226021</v>
      </c>
      <c r="H130" s="36"/>
      <c r="I130" s="35"/>
      <c r="J130" s="37"/>
      <c r="K130" s="147"/>
    </row>
    <row r="131" s="30" customFormat="1" ht="39" customHeight="1" spans="1:10">
      <c r="A131" s="34"/>
      <c r="B131" s="35"/>
      <c r="C131" s="34"/>
      <c r="D131" s="44"/>
      <c r="E131" s="144" t="s">
        <v>152</v>
      </c>
      <c r="F131" s="43">
        <v>0.03</v>
      </c>
      <c r="G131" s="4">
        <v>3480.36642735613</v>
      </c>
      <c r="H131" s="36"/>
      <c r="I131" s="35"/>
      <c r="J131" s="37"/>
    </row>
    <row r="132" s="30" customFormat="1" ht="39" customHeight="1" spans="1:10">
      <c r="A132" s="34"/>
      <c r="B132" s="35"/>
      <c r="C132" s="34"/>
      <c r="D132" s="44"/>
      <c r="E132" s="144" t="s">
        <v>153</v>
      </c>
      <c r="F132" s="43">
        <v>0.02</v>
      </c>
      <c r="G132" s="4">
        <v>2320.24428490409</v>
      </c>
      <c r="H132" s="36"/>
      <c r="I132" s="35"/>
      <c r="J132" s="37"/>
    </row>
    <row r="133" s="30" customFormat="1" ht="39" customHeight="1" spans="1:10">
      <c r="A133" s="34"/>
      <c r="B133" s="35"/>
      <c r="C133" s="34"/>
      <c r="D133" s="44"/>
      <c r="E133" s="145" t="s">
        <v>154</v>
      </c>
      <c r="F133" s="56"/>
      <c r="G133" s="146">
        <v>127613.435669725</v>
      </c>
      <c r="H133" s="36"/>
      <c r="I133" s="35"/>
      <c r="J133" s="37"/>
    </row>
    <row r="134" s="30" customFormat="1" spans="1:10">
      <c r="A134" s="34"/>
      <c r="B134" s="35"/>
      <c r="C134" s="34"/>
      <c r="D134" s="36"/>
      <c r="E134" s="36"/>
      <c r="F134" s="35"/>
      <c r="G134" s="35"/>
      <c r="H134" s="36"/>
      <c r="I134" s="35"/>
      <c r="J134" s="37"/>
    </row>
    <row r="135" s="30" customFormat="1" spans="1:10">
      <c r="A135" s="34"/>
      <c r="B135" s="35"/>
      <c r="C135" s="34"/>
      <c r="D135" s="36"/>
      <c r="E135" s="36"/>
      <c r="F135" s="35"/>
      <c r="G135" s="35"/>
      <c r="H135" s="36"/>
      <c r="I135" s="35"/>
      <c r="J135" s="37"/>
    </row>
    <row r="136" s="30" customFormat="1" spans="1:10">
      <c r="A136" s="34"/>
      <c r="B136" s="35"/>
      <c r="C136" s="34"/>
      <c r="D136" s="36"/>
      <c r="E136" s="36"/>
      <c r="F136" s="35"/>
      <c r="G136" s="35"/>
      <c r="H136" s="36"/>
      <c r="I136" s="35"/>
      <c r="J136" s="37"/>
    </row>
    <row r="137" s="30" customFormat="1" spans="1:10">
      <c r="A137" s="34"/>
      <c r="B137" s="35"/>
      <c r="C137" s="34"/>
      <c r="D137" s="36"/>
      <c r="E137" s="36"/>
      <c r="F137" s="35"/>
      <c r="G137" s="35"/>
      <c r="H137" s="36"/>
      <c r="I137" s="35"/>
      <c r="J137" s="37"/>
    </row>
    <row r="138" s="30" customFormat="1" spans="1:10">
      <c r="A138" s="34"/>
      <c r="B138" s="35"/>
      <c r="C138" s="34"/>
      <c r="D138" s="36"/>
      <c r="E138" s="36"/>
      <c r="F138" s="35"/>
      <c r="G138" s="35"/>
      <c r="H138" s="36"/>
      <c r="I138" s="35"/>
      <c r="J138" s="37"/>
    </row>
    <row r="139" s="30" customFormat="1" spans="1:10">
      <c r="A139" s="34"/>
      <c r="B139" s="35"/>
      <c r="C139" s="34"/>
      <c r="D139" s="36"/>
      <c r="E139" s="36"/>
      <c r="F139" s="35"/>
      <c r="G139" s="35"/>
      <c r="H139" s="36"/>
      <c r="I139" s="35"/>
      <c r="J139" s="37"/>
    </row>
    <row r="140" s="30" customFormat="1" spans="1:10">
      <c r="A140" s="34"/>
      <c r="B140" s="35"/>
      <c r="C140" s="34"/>
      <c r="D140" s="36"/>
      <c r="E140" s="36"/>
      <c r="F140" s="35"/>
      <c r="G140" s="35"/>
      <c r="H140" s="36"/>
      <c r="I140" s="35"/>
      <c r="J140" s="37"/>
    </row>
    <row r="141" s="30" customFormat="1" spans="1:10">
      <c r="A141" s="34"/>
      <c r="B141" s="35"/>
      <c r="C141" s="34"/>
      <c r="D141" s="36"/>
      <c r="E141" s="36"/>
      <c r="F141" s="35"/>
      <c r="G141" s="35"/>
      <c r="H141" s="36"/>
      <c r="I141" s="35"/>
      <c r="J141" s="37"/>
    </row>
    <row r="142" s="30" customFormat="1" spans="1:10">
      <c r="A142" s="34"/>
      <c r="B142" s="35"/>
      <c r="C142" s="34"/>
      <c r="D142" s="36"/>
      <c r="E142" s="36"/>
      <c r="F142" s="35"/>
      <c r="G142" s="35"/>
      <c r="H142" s="36"/>
      <c r="I142" s="35"/>
      <c r="J142" s="37"/>
    </row>
    <row r="143" s="30" customFormat="1" spans="1:10">
      <c r="A143" s="34"/>
      <c r="B143" s="35"/>
      <c r="C143" s="34"/>
      <c r="D143" s="36"/>
      <c r="E143" s="36"/>
      <c r="F143" s="35"/>
      <c r="G143" s="35"/>
      <c r="H143" s="36"/>
      <c r="I143" s="35"/>
      <c r="J143" s="37"/>
    </row>
    <row r="144" s="30" customFormat="1" spans="1:10">
      <c r="A144" s="34"/>
      <c r="B144" s="35"/>
      <c r="C144" s="34"/>
      <c r="D144" s="36"/>
      <c r="E144" s="36"/>
      <c r="F144" s="35"/>
      <c r="G144" s="35"/>
      <c r="H144" s="36"/>
      <c r="I144" s="35"/>
      <c r="J144" s="37"/>
    </row>
  </sheetData>
  <protectedRanges>
    <protectedRange sqref="K32:L32" name="区域1"/>
  </protectedRanges>
  <autoFilter ref="A18:Q65">
    <extLst/>
  </autoFilter>
  <mergeCells count="10">
    <mergeCell ref="A1:J1"/>
    <mergeCell ref="H2:J2"/>
    <mergeCell ref="C5:D5"/>
    <mergeCell ref="E5:F5"/>
    <mergeCell ref="H5:J5"/>
    <mergeCell ref="A5:A6"/>
    <mergeCell ref="B5:B6"/>
    <mergeCell ref="D128:D133"/>
    <mergeCell ref="G5:G6"/>
    <mergeCell ref="O53:O54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opLeftCell="A9" workbookViewId="0">
      <selection activeCell="I8" sqref="I8"/>
    </sheetView>
  </sheetViews>
  <sheetFormatPr defaultColWidth="9" defaultRowHeight="13.5"/>
  <cols>
    <col min="1" max="1" width="14.25" style="6" customWidth="1"/>
    <col min="2" max="2" width="82.5" style="6" customWidth="1"/>
    <col min="3" max="3" width="29" style="6" customWidth="1"/>
    <col min="4" max="4" width="17.625" style="6" customWidth="1"/>
    <col min="5" max="5" width="11.625" style="7" customWidth="1"/>
    <col min="6" max="6" width="19.375" style="8" customWidth="1"/>
  </cols>
  <sheetData>
    <row r="1" ht="33" customHeight="1" spans="1:6">
      <c r="A1" s="9" t="s">
        <v>10</v>
      </c>
      <c r="B1" s="9" t="s">
        <v>163</v>
      </c>
      <c r="C1" s="9" t="s">
        <v>164</v>
      </c>
      <c r="D1" s="9" t="s">
        <v>165</v>
      </c>
      <c r="E1" s="10" t="s">
        <v>19</v>
      </c>
      <c r="F1" s="11" t="s">
        <v>166</v>
      </c>
    </row>
    <row r="2" ht="33" customHeight="1" spans="1:7">
      <c r="A2" s="12" t="s">
        <v>167</v>
      </c>
      <c r="B2" s="12" t="s">
        <v>168</v>
      </c>
      <c r="C2" s="13" t="s">
        <v>169</v>
      </c>
      <c r="D2" s="12" t="s">
        <v>170</v>
      </c>
      <c r="E2" s="14">
        <f>99999*5+94505</f>
        <v>594500</v>
      </c>
      <c r="F2" s="15" t="s">
        <v>171</v>
      </c>
      <c r="G2" t="s">
        <v>172</v>
      </c>
    </row>
    <row r="3" ht="33" customHeight="1" spans="1:7">
      <c r="A3" s="16" t="s">
        <v>173</v>
      </c>
      <c r="B3" s="16" t="s">
        <v>174</v>
      </c>
      <c r="C3" s="17" t="s">
        <v>175</v>
      </c>
      <c r="D3" s="18" t="s">
        <v>176</v>
      </c>
      <c r="E3" s="19">
        <v>2039400</v>
      </c>
      <c r="F3" s="20" t="s">
        <v>177</v>
      </c>
      <c r="G3" t="s">
        <v>172</v>
      </c>
    </row>
    <row r="4" ht="33" customHeight="1" spans="1:7">
      <c r="A4" s="12" t="s">
        <v>178</v>
      </c>
      <c r="B4" s="12" t="s">
        <v>179</v>
      </c>
      <c r="C4" s="21" t="s">
        <v>180</v>
      </c>
      <c r="D4" s="22" t="s">
        <v>181</v>
      </c>
      <c r="E4" s="23">
        <v>3000000</v>
      </c>
      <c r="F4" s="24" t="s">
        <v>182</v>
      </c>
      <c r="G4" t="s">
        <v>172</v>
      </c>
    </row>
    <row r="5" ht="33" customHeight="1" spans="1:7">
      <c r="A5" s="25" t="s">
        <v>183</v>
      </c>
      <c r="B5" s="12" t="s">
        <v>0</v>
      </c>
      <c r="C5" s="13" t="s">
        <v>65</v>
      </c>
      <c r="D5" s="22" t="s">
        <v>82</v>
      </c>
      <c r="E5" s="14">
        <v>2500000</v>
      </c>
      <c r="F5" s="26" t="s">
        <v>84</v>
      </c>
      <c r="G5" t="s">
        <v>172</v>
      </c>
    </row>
    <row r="6" ht="33" customHeight="1" spans="1:7">
      <c r="A6" s="12" t="s">
        <v>184</v>
      </c>
      <c r="B6" s="12" t="s">
        <v>0</v>
      </c>
      <c r="C6" s="13" t="s">
        <v>67</v>
      </c>
      <c r="D6" s="22" t="s">
        <v>43</v>
      </c>
      <c r="E6" s="14">
        <f>200000+99000</f>
        <v>299000</v>
      </c>
      <c r="F6" s="15" t="s">
        <v>87</v>
      </c>
      <c r="G6" t="s">
        <v>172</v>
      </c>
    </row>
    <row r="7" ht="33" customHeight="1" spans="1:7">
      <c r="A7" s="12" t="s">
        <v>185</v>
      </c>
      <c r="B7" s="12" t="s">
        <v>186</v>
      </c>
      <c r="C7" s="13" t="s">
        <v>187</v>
      </c>
      <c r="D7" s="22" t="s">
        <v>188</v>
      </c>
      <c r="E7" s="14">
        <v>165360</v>
      </c>
      <c r="F7" s="24" t="s">
        <v>171</v>
      </c>
      <c r="G7" t="s">
        <v>172</v>
      </c>
    </row>
    <row r="8" ht="33" customHeight="1" spans="1:7">
      <c r="A8" s="12" t="s">
        <v>185</v>
      </c>
      <c r="B8" s="12" t="s">
        <v>186</v>
      </c>
      <c r="C8" s="13" t="s">
        <v>189</v>
      </c>
      <c r="D8" s="22" t="s">
        <v>190</v>
      </c>
      <c r="E8" s="14">
        <v>37500</v>
      </c>
      <c r="F8" s="24" t="s">
        <v>171</v>
      </c>
      <c r="G8" t="s">
        <v>172</v>
      </c>
    </row>
    <row r="9" ht="33" customHeight="1" spans="1:7">
      <c r="A9" s="12" t="s">
        <v>191</v>
      </c>
      <c r="B9" s="12" t="s">
        <v>186</v>
      </c>
      <c r="C9" s="13" t="s">
        <v>192</v>
      </c>
      <c r="D9" s="22" t="s">
        <v>193</v>
      </c>
      <c r="E9" s="14">
        <v>60455</v>
      </c>
      <c r="F9" s="24" t="s">
        <v>171</v>
      </c>
      <c r="G9" t="s">
        <v>172</v>
      </c>
    </row>
    <row r="10" ht="33" customHeight="1" spans="1:7">
      <c r="A10" s="12" t="s">
        <v>194</v>
      </c>
      <c r="B10" s="12" t="s">
        <v>186</v>
      </c>
      <c r="C10" s="12" t="s">
        <v>195</v>
      </c>
      <c r="D10" s="12" t="s">
        <v>196</v>
      </c>
      <c r="E10" s="14">
        <f>990000*3+380000+274084</f>
        <v>3624084</v>
      </c>
      <c r="F10" s="24" t="s">
        <v>197</v>
      </c>
      <c r="G10" t="s">
        <v>172</v>
      </c>
    </row>
    <row r="11" ht="33" customHeight="1" spans="1:7">
      <c r="A11" s="12" t="s">
        <v>198</v>
      </c>
      <c r="B11" s="12" t="s">
        <v>186</v>
      </c>
      <c r="C11" s="12" t="s">
        <v>199</v>
      </c>
      <c r="D11" s="12" t="s">
        <v>200</v>
      </c>
      <c r="E11" s="14">
        <v>60000</v>
      </c>
      <c r="F11" s="24" t="s">
        <v>201</v>
      </c>
      <c r="G11" t="s">
        <v>172</v>
      </c>
    </row>
    <row r="12" ht="33" customHeight="1" spans="1:7">
      <c r="A12" s="12" t="s">
        <v>202</v>
      </c>
      <c r="B12" s="12" t="s">
        <v>186</v>
      </c>
      <c r="C12" s="13" t="s">
        <v>203</v>
      </c>
      <c r="D12" s="27" t="s">
        <v>204</v>
      </c>
      <c r="E12" s="14">
        <v>209760</v>
      </c>
      <c r="F12" s="24" t="s">
        <v>205</v>
      </c>
      <c r="G12" t="s">
        <v>172</v>
      </c>
    </row>
    <row r="13" customFormat="1" ht="33" customHeight="1" spans="1:7">
      <c r="A13" s="12" t="s">
        <v>206</v>
      </c>
      <c r="B13" s="12" t="s">
        <v>207</v>
      </c>
      <c r="C13" s="28" t="s">
        <v>208</v>
      </c>
      <c r="D13" s="22" t="s">
        <v>209</v>
      </c>
      <c r="E13" s="14">
        <v>90000</v>
      </c>
      <c r="F13" s="24" t="s">
        <v>201</v>
      </c>
      <c r="G13" t="s">
        <v>210</v>
      </c>
    </row>
    <row r="14" customFormat="1" ht="33" customHeight="1" spans="1:7">
      <c r="A14" s="12" t="s">
        <v>211</v>
      </c>
      <c r="B14" s="12" t="s">
        <v>212</v>
      </c>
      <c r="C14" s="28" t="s">
        <v>213</v>
      </c>
      <c r="D14" s="22" t="s">
        <v>45</v>
      </c>
      <c r="E14" s="14">
        <v>661500</v>
      </c>
      <c r="F14" s="24" t="s">
        <v>214</v>
      </c>
      <c r="G14" t="s">
        <v>210</v>
      </c>
    </row>
    <row r="15" customFormat="1" ht="33" customHeight="1" spans="1:7">
      <c r="A15" s="12" t="s">
        <v>215</v>
      </c>
      <c r="B15" s="12" t="s">
        <v>216</v>
      </c>
      <c r="C15" s="28" t="s">
        <v>217</v>
      </c>
      <c r="D15" s="22" t="s">
        <v>218</v>
      </c>
      <c r="E15" s="14">
        <v>5250</v>
      </c>
      <c r="F15" s="24" t="s">
        <v>219</v>
      </c>
      <c r="G15" t="s">
        <v>210</v>
      </c>
    </row>
    <row r="16" customFormat="1" ht="33" customHeight="1" spans="1:7">
      <c r="A16" s="12" t="s">
        <v>220</v>
      </c>
      <c r="B16" s="12" t="s">
        <v>216</v>
      </c>
      <c r="C16" s="28" t="s">
        <v>221</v>
      </c>
      <c r="D16" s="22" t="s">
        <v>58</v>
      </c>
      <c r="E16" s="14">
        <f>9785+9785+9785</f>
        <v>29355</v>
      </c>
      <c r="F16" s="24" t="s">
        <v>219</v>
      </c>
      <c r="G16" t="s">
        <v>210</v>
      </c>
    </row>
    <row r="17" customFormat="1" ht="33" customHeight="1" spans="1:7">
      <c r="A17" s="12" t="s">
        <v>222</v>
      </c>
      <c r="B17" s="12" t="s">
        <v>216</v>
      </c>
      <c r="C17" s="28" t="s">
        <v>223</v>
      </c>
      <c r="D17" s="22" t="s">
        <v>224</v>
      </c>
      <c r="E17" s="14">
        <f>42959+85400</f>
        <v>128359</v>
      </c>
      <c r="F17" s="24" t="s">
        <v>225</v>
      </c>
      <c r="G17" t="s">
        <v>210</v>
      </c>
    </row>
    <row r="18" customFormat="1" ht="33" customHeight="1" spans="1:11">
      <c r="A18" s="12" t="s">
        <v>226</v>
      </c>
      <c r="B18" s="12" t="s">
        <v>227</v>
      </c>
      <c r="C18" s="28" t="s">
        <v>228</v>
      </c>
      <c r="D18" s="22" t="s">
        <v>229</v>
      </c>
      <c r="E18" s="14">
        <f>100000*10</f>
        <v>1000000</v>
      </c>
      <c r="F18" s="24" t="s">
        <v>230</v>
      </c>
      <c r="G18" t="s">
        <v>210</v>
      </c>
      <c r="K18" t="s">
        <v>32</v>
      </c>
    </row>
    <row r="19" customFormat="1" ht="33" customHeight="1" spans="1:7">
      <c r="A19" s="12" t="s">
        <v>231</v>
      </c>
      <c r="B19" s="12" t="s">
        <v>227</v>
      </c>
      <c r="C19" s="28" t="s">
        <v>228</v>
      </c>
      <c r="D19" s="22" t="s">
        <v>229</v>
      </c>
      <c r="E19" s="14">
        <f>10*100000+70000</f>
        <v>1070000</v>
      </c>
      <c r="F19" s="24" t="s">
        <v>230</v>
      </c>
      <c r="G19" t="s">
        <v>210</v>
      </c>
    </row>
    <row r="20" customFormat="1" ht="33" customHeight="1" spans="1:7">
      <c r="A20" s="12" t="s">
        <v>226</v>
      </c>
      <c r="B20" s="12" t="s">
        <v>227</v>
      </c>
      <c r="C20" s="28" t="s">
        <v>232</v>
      </c>
      <c r="D20" s="22" t="s">
        <v>233</v>
      </c>
      <c r="E20" s="14">
        <f>1000000+680353.64</f>
        <v>1680353.64</v>
      </c>
      <c r="F20" s="24" t="s">
        <v>234</v>
      </c>
      <c r="G20" t="s">
        <v>210</v>
      </c>
    </row>
    <row r="21" customFormat="1" ht="33" customHeight="1" spans="1:7">
      <c r="A21" s="12" t="s">
        <v>231</v>
      </c>
      <c r="B21" s="12" t="s">
        <v>227</v>
      </c>
      <c r="C21" s="28" t="s">
        <v>235</v>
      </c>
      <c r="D21" s="22" t="s">
        <v>236</v>
      </c>
      <c r="E21" s="14">
        <v>200465</v>
      </c>
      <c r="F21" s="29" t="s">
        <v>237</v>
      </c>
      <c r="G21" t="s">
        <v>210</v>
      </c>
    </row>
  </sheetData>
  <protectedRanges>
    <protectedRange sqref="D12" name="区域1_1"/>
  </protectedRanges>
  <pageMargins left="0.75" right="0.75" top="1" bottom="1" header="0.511805555555556" footer="0.511805555555556"/>
  <pageSetup paperSize="9" scale="60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1" sqref="C1:C6"/>
    </sheetView>
  </sheetViews>
  <sheetFormatPr defaultColWidth="9" defaultRowHeight="13.5" outlineLevelRow="5" outlineLevelCol="2"/>
  <cols>
    <col min="3" max="3" width="13.125" customWidth="1"/>
  </cols>
  <sheetData>
    <row r="1" spans="1:3">
      <c r="A1" s="1" t="s">
        <v>135</v>
      </c>
      <c r="B1" s="1" t="s">
        <v>16</v>
      </c>
      <c r="C1" s="2" t="s">
        <v>238</v>
      </c>
    </row>
    <row r="2" spans="1:3">
      <c r="A2" s="1" t="s">
        <v>146</v>
      </c>
      <c r="B2" s="1" t="s">
        <v>147</v>
      </c>
      <c r="C2" s="3">
        <v>116012.214245204</v>
      </c>
    </row>
    <row r="3" spans="1:3">
      <c r="A3" s="1" t="s">
        <v>150</v>
      </c>
      <c r="B3" s="1">
        <v>0.05</v>
      </c>
      <c r="C3" s="4">
        <v>5800.61071226021</v>
      </c>
    </row>
    <row r="4" spans="1:3">
      <c r="A4" s="1" t="s">
        <v>152</v>
      </c>
      <c r="B4" s="1">
        <v>0.03</v>
      </c>
      <c r="C4" s="4">
        <v>3480.36642735613</v>
      </c>
    </row>
    <row r="5" spans="1:3">
      <c r="A5" s="1" t="s">
        <v>153</v>
      </c>
      <c r="B5" s="1">
        <v>0.02</v>
      </c>
      <c r="C5" s="4">
        <v>2320.24428490409</v>
      </c>
    </row>
    <row r="6" spans="1:3">
      <c r="A6" s="1" t="s">
        <v>154</v>
      </c>
      <c r="B6" s="1"/>
      <c r="C6" s="5">
        <v>127613.435669725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商城县钵盂山灌河大桥新建工程施工（二次）</vt:lpstr>
      <vt:lpstr>新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2021-06-22T08:51:24Z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BA66DFC5FD3E4D04A00A889AA841995F</vt:lpwstr>
  </property>
</Properties>
</file>