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新!$A$16:$O$73</definedName>
    <definedName name="_xlnm._FilterDatabase" localSheetId="1" hidden="1">旧!$A$15:$O$62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cw09</author>
    <author>cw05</author>
  </authors>
  <commentList>
    <comment ref="D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一次性按这个金额在异地预缴2%税金的2017.8.7</t>
        </r>
      </text>
    </comment>
    <comment ref="D13" authorId="1">
      <text>
        <r>
          <rPr>
            <sz val="9"/>
            <rFont val="宋体"/>
            <charset val="134"/>
          </rPr>
          <t>cw09:
异地未交税金 ，吴总同意2个点税金工程款扣除</t>
        </r>
      </text>
    </comment>
    <comment ref="E17" authorId="2">
      <text>
        <r>
          <rPr>
            <sz val="9"/>
            <rFont val="宋体"/>
            <charset val="134"/>
          </rPr>
          <t>cw05:
填写专票税率</t>
        </r>
      </text>
    </comment>
    <comment ref="G17" authorId="2">
      <text>
        <r>
          <rPr>
            <sz val="9"/>
            <rFont val="宋体"/>
            <charset val="134"/>
          </rPr>
          <t>cw05:
填写成本发票含税金额</t>
        </r>
      </text>
    </comment>
    <comment ref="I4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63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5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D12" authorId="0">
      <text>
        <r>
          <rPr>
            <sz val="9"/>
            <rFont val="宋体"/>
            <charset val="134"/>
          </rPr>
          <t>cw09:
异地未交税金 ，吴总同意2个点税金工程款扣除</t>
        </r>
      </text>
    </comment>
    <comment ref="E16" authorId="1">
      <text>
        <r>
          <rPr>
            <sz val="9"/>
            <rFont val="宋体"/>
            <charset val="134"/>
          </rPr>
          <t>cw05:
填写专票税率</t>
        </r>
      </text>
    </comment>
    <comment ref="G16" authorId="1">
      <text>
        <r>
          <rPr>
            <sz val="9"/>
            <rFont val="宋体"/>
            <charset val="134"/>
          </rPr>
          <t>cw05:
填写成本发票含税金额</t>
        </r>
      </text>
    </comment>
    <comment ref="A5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<sst xmlns="http://schemas.openxmlformats.org/spreadsheetml/2006/main" count="352" uniqueCount="114">
  <si>
    <t>清丰文体中心建设项目红线外园林绿化工程 （清丰文体中心西侧景观工程）</t>
  </si>
  <si>
    <t>中标日期</t>
  </si>
  <si>
    <t>中标价</t>
  </si>
  <si>
    <t>负责人</t>
  </si>
  <si>
    <t>孙健</t>
  </si>
  <si>
    <t>建设单位</t>
  </si>
  <si>
    <t>北京城建集团有限责任公司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</si>
  <si>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</si>
  <si>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</si>
  <si>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</si>
  <si>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</si>
  <si>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</si>
  <si>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</si>
  <si>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</si>
  <si>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</si>
  <si>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</si>
  <si>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</si>
  <si>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</si>
  <si>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</si>
  <si>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</si>
  <si>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</si>
  <si>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2017-9-</t>
  </si>
  <si>
    <t>中行</t>
  </si>
  <si>
    <t>2017-11-</t>
  </si>
  <si>
    <t>2018-2-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</si>
  <si>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</si>
  <si>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</si>
  <si>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</si>
  <si>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</si>
  <si>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</si>
  <si>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</si>
  <si>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</si>
  <si>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</si>
  <si>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</si>
  <si>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</si>
  <si>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</si>
  <si>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</si>
  <si>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</si>
  <si>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</si>
  <si>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</si>
  <si>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</si>
  <si>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河南省正元健身器材销售有限公司</t>
  </si>
  <si>
    <t>器材</t>
  </si>
  <si>
    <t>已办理承诺书</t>
  </si>
  <si>
    <t>滑县广旺苗木种植农民专业合作社</t>
  </si>
  <si>
    <t>苗木</t>
  </si>
  <si>
    <t>人工</t>
  </si>
  <si>
    <t xml:space="preserve">   </t>
  </si>
  <si>
    <t>高志轩</t>
  </si>
  <si>
    <t xml:space="preserve"> 雕塑造型</t>
  </si>
  <si>
    <t>17-12-</t>
  </si>
  <si>
    <t>濮阳市千韵商贸有限公司</t>
  </si>
  <si>
    <t>石材</t>
  </si>
  <si>
    <t>河南晶彩光电科技有限公司</t>
  </si>
  <si>
    <t>地埋灯</t>
  </si>
  <si>
    <t>普</t>
  </si>
  <si>
    <t>濮阳普汇劳务有限公司</t>
  </si>
  <si>
    <t>18-2-</t>
  </si>
  <si>
    <t>河北正华园林绿化工程有限公司</t>
  </si>
  <si>
    <t>徽行</t>
  </si>
  <si>
    <t>退垫付材料款</t>
  </si>
  <si>
    <t>扣</t>
  </si>
  <si>
    <t>手续费</t>
  </si>
  <si>
    <t>管理费</t>
  </si>
  <si>
    <t>退</t>
  </si>
  <si>
    <t>损失准备金1%</t>
  </si>
  <si>
    <t>2021年2月工程地缴税2%增加部分差额</t>
  </si>
  <si>
    <t>收</t>
  </si>
  <si>
    <t>财务手续费（高志轩）</t>
  </si>
  <si>
    <t>王光如卡（2020.4.21）</t>
  </si>
  <si>
    <t>损失准备金1%（高志轩）</t>
  </si>
  <si>
    <t>退时从王光如卡退</t>
  </si>
  <si>
    <t>合作人转的水利基金（高志轩）</t>
  </si>
  <si>
    <t>5次</t>
  </si>
  <si>
    <t>水利基金</t>
  </si>
  <si>
    <t>预留</t>
  </si>
  <si>
    <t>2021-2-</t>
  </si>
  <si>
    <t>王光如</t>
  </si>
  <si>
    <t>收增值税及附加（2021.2月开票扣税)</t>
  </si>
  <si>
    <t>2021.2.4</t>
  </si>
  <si>
    <t>增值税及附加（2021.2月开票扣税)</t>
  </si>
  <si>
    <t>孙圣超卡</t>
  </si>
  <si>
    <t>已收款21192.66 孙会计卡 19.12.18</t>
  </si>
  <si>
    <t>增值税及附加（19.12月开票扣税)</t>
  </si>
  <si>
    <t>税金（19.1月开票）</t>
  </si>
  <si>
    <t>代办费</t>
  </si>
  <si>
    <t>税金</t>
  </si>
  <si>
    <t>尚需提供成本</t>
  </si>
  <si>
    <t>可支付金额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</si>
  <si>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</si>
  <si>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公司代缴税金：</t>
  </si>
  <si>
    <t xml:space="preserve">    </t>
  </si>
  <si>
    <t>税种</t>
  </si>
  <si>
    <t>税额</t>
  </si>
  <si>
    <t>前期扣税</t>
  </si>
  <si>
    <t>19.1月开票扣税</t>
  </si>
  <si>
    <t>19.12月开票扣税</t>
  </si>
  <si>
    <t>2021.2月开票扣税</t>
  </si>
  <si>
    <t>2021年2月工程地缴税2%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</si>
  <si>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</si>
  <si>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</si>
  <si>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</si>
  <si>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</si>
  <si>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</si>
  <si>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</si>
  <si>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</si>
  <si>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</si>
  <si>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</si>
  <si>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 xml:space="preserve">  </t>
  </si>
  <si>
    <t>税</t>
  </si>
  <si>
    <t>手</t>
  </si>
  <si>
    <t>河南省正元健身器材销售有限公</t>
  </si>
  <si>
    <t>清丰另一项目工程款</t>
  </si>
  <si>
    <t>19.12月开票预缴税款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</si>
</sst>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9" borderId="1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8">
    <xf numFmtId="0" fontId="0" fillId="0" borderId="0" xfId="0"/>
    <xf numFmtId="0" fontId="0" fillId="0" borderId="1" xfId="0" applyBorder="1"/>
    <xf numFmtId="176" fontId="1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4" fontId="4" fillId="0" borderId="0" xfId="0" applyNumberFormat="1" applyFont="1"/>
    <xf numFmtId="0" fontId="4" fillId="0" borderId="0" xfId="0" applyFont="1"/>
    <xf numFmtId="176" fontId="1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8" fontId="1" fillId="0" borderId="4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9" fontId="1" fillId="0" borderId="1" xfId="1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vertical="center"/>
    </xf>
    <xf numFmtId="9" fontId="1" fillId="0" borderId="1" xfId="11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3" borderId="1" xfId="1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178" fontId="5" fillId="5" borderId="1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left" vertical="center"/>
    </xf>
    <xf numFmtId="178" fontId="5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5" borderId="3" xfId="0" applyNumberFormat="1" applyFont="1" applyFill="1" applyBorder="1" applyAlignment="1">
      <alignment vertical="center"/>
    </xf>
    <xf numFmtId="178" fontId="1" fillId="5" borderId="4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8" fontId="5" fillId="5" borderId="3" xfId="0" applyNumberFormat="1" applyFont="1" applyFill="1" applyBorder="1" applyAlignment="1">
      <alignment vertical="center"/>
    </xf>
    <xf numFmtId="178" fontId="5" fillId="4" borderId="1" xfId="0" applyNumberFormat="1" applyFont="1" applyFill="1" applyBorder="1" applyAlignment="1">
      <alignment horizontal="left" vertical="center"/>
    </xf>
    <xf numFmtId="178" fontId="5" fillId="5" borderId="4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178" fontId="1" fillId="0" borderId="7" xfId="0" applyNumberFormat="1" applyFont="1" applyBorder="1" applyAlignment="1">
      <alignment horizontal="left" vertical="center"/>
    </xf>
    <xf numFmtId="177" fontId="1" fillId="0" borderId="4" xfId="0" applyNumberFormat="1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horizontal="right" vertical="center"/>
    </xf>
    <xf numFmtId="176" fontId="4" fillId="0" borderId="0" xfId="0" applyNumberFormat="1" applyFont="1"/>
    <xf numFmtId="176" fontId="1" fillId="0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6" fontId="5" fillId="5" borderId="1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5" borderId="3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horizontal="left" vertical="center"/>
    </xf>
    <xf numFmtId="176" fontId="5" fillId="5" borderId="4" xfId="0" applyNumberFormat="1" applyFont="1" applyFill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4" borderId="1" xfId="0" applyNumberFormat="1" applyFont="1" applyFill="1" applyBorder="1" applyAlignment="1">
      <alignment horizontal="left" vertical="center"/>
    </xf>
    <xf numFmtId="176" fontId="1" fillId="0" borderId="4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6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5" fillId="6" borderId="3" xfId="0" applyNumberFormat="1" applyFont="1" applyFill="1" applyBorder="1" applyAlignment="1">
      <alignment vertical="center"/>
    </xf>
    <xf numFmtId="176" fontId="5" fillId="6" borderId="4" xfId="0" applyNumberFormat="1" applyFont="1" applyFill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8" fontId="5" fillId="4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6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27940</xdr:colOff>
      <xdr:row>14</xdr:row>
      <xdr:rowOff>160020</xdr:rowOff>
    </xdr:from>
    <xdr:to>
      <xdr:col>18</xdr:col>
      <xdr:colOff>497205</xdr:colOff>
      <xdr:row>26</xdr:row>
      <xdr:rowOff>95250</xdr:rowOff>
    </xdr:to>
    <xdr:pic>
      <xdr:nvPicPr>
        <xdr:cNvPr id="2" name="图片 1" descr="7B57994F1330AB26271F1651B5D0C61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97380" y="3409950"/>
          <a:ext cx="2526665" cy="267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abSelected="1" workbookViewId="0">
      <selection activeCell="A1" sqref="A1:J1"/>
    </sheetView>
  </sheetViews>
  <sheetFormatPr defaultColWidth="9" defaultRowHeight="11.25"/>
  <cols>
    <col min="1" max="1" width="12" style="4" customWidth="1"/>
    <col min="2" max="2" width="14.5583333333333" style="5" customWidth="1"/>
    <col min="3" max="3" width="6" style="6" customWidth="1"/>
    <col min="4" max="4" width="13.3333333333333" style="6" customWidth="1"/>
    <col min="5" max="5" width="6" style="6" customWidth="1"/>
    <col min="6" max="6" width="13.1083333333333" style="5" customWidth="1"/>
    <col min="7" max="7" width="14.1083333333333" style="5" customWidth="1"/>
    <col min="8" max="8" width="11.775" style="6" customWidth="1"/>
    <col min="9" max="9" width="13.8833333333333" style="83" customWidth="1"/>
    <col min="10" max="10" width="10.8833333333333" style="7" customWidth="1"/>
    <col min="11" max="11" width="36.6666666666667" style="8" customWidth="1"/>
    <col min="12" max="12" width="12.775" style="8" customWidth="1"/>
    <col min="13" max="13" width="6" style="8" customWidth="1"/>
    <col min="14" max="14" width="5.66666666666667" style="8" customWidth="1"/>
    <col min="15" max="15" width="14.4416666666667" style="8" customWidth="1"/>
    <col min="16" max="16384" width="9" style="8"/>
  </cols>
  <sheetData>
    <row r="1" ht="21.9" customHeight="1" spans="1:12">
      <c r="A1" s="9" t="s">
        <v>0</v>
      </c>
      <c r="B1" s="9"/>
      <c r="C1" s="9"/>
      <c r="D1" s="9"/>
      <c r="E1" s="9"/>
      <c r="F1" s="10"/>
      <c r="G1" s="11"/>
      <c r="H1" s="9"/>
      <c r="I1" s="97"/>
      <c r="J1" s="9"/>
      <c r="K1" s="20"/>
      <c r="L1" s="20"/>
    </row>
    <row r="2" ht="18" customHeight="1" spans="1:12">
      <c r="A2" s="12" t="s">
        <v>1</v>
      </c>
      <c r="B2" s="13">
        <v>42877</v>
      </c>
      <c r="C2" s="2" t="s">
        <v>2</v>
      </c>
      <c r="D2" s="84">
        <v>1645895.22</v>
      </c>
      <c r="E2" s="15" t="s">
        <v>3</v>
      </c>
      <c r="F2" s="16" t="s">
        <v>4</v>
      </c>
      <c r="G2" s="17" t="s">
        <v>5</v>
      </c>
      <c r="H2" s="18" t="s">
        <v>6</v>
      </c>
      <c r="I2" s="98"/>
      <c r="J2" s="67"/>
      <c r="K2" s="20"/>
      <c r="L2" s="20"/>
    </row>
    <row r="3" ht="18" customHeight="1" spans="1:12">
      <c r="A3" s="12" t="s">
        <v>7</v>
      </c>
      <c r="B3" s="19"/>
      <c r="C3" s="2" t="s">
        <v>8</v>
      </c>
      <c r="D3" s="2">
        <v>1787884.77</v>
      </c>
      <c r="H3" s="20"/>
      <c r="I3" s="99"/>
      <c r="J3" s="20"/>
      <c r="K3" s="20"/>
      <c r="L3" s="20"/>
    </row>
    <row r="4" ht="18" customHeight="1" spans="1:12">
      <c r="A4" s="4" t="s">
        <v>9</v>
      </c>
      <c r="D4" s="6">
        <f>D3-D2</f>
        <v>141989.55</v>
      </c>
      <c r="F4" s="5">
        <f>D4*0.02</f>
        <v>2839.791</v>
      </c>
      <c r="H4" s="20"/>
      <c r="I4" s="99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100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100" t="s">
        <v>19</v>
      </c>
      <c r="J6" s="23" t="s">
        <v>20</v>
      </c>
    </row>
    <row r="7" ht="18" customHeight="1" spans="1:10">
      <c r="A7" s="24">
        <v>42977</v>
      </c>
      <c r="B7" s="2">
        <f t="shared" ref="B7:B13" si="0">G7/(1+C7+E7)</f>
        <v>405405.405405405</v>
      </c>
      <c r="C7" s="26">
        <v>0.02</v>
      </c>
      <c r="D7" s="85">
        <f t="shared" ref="D7:D13" si="1">G7/(1+E7+C7)*C7</f>
        <v>8108.10810810811</v>
      </c>
      <c r="E7" s="26">
        <v>0.09</v>
      </c>
      <c r="F7" s="2">
        <f t="shared" ref="F7:F13" si="2">G7/(1+C7+E7)*E7</f>
        <v>36486.4864864865</v>
      </c>
      <c r="G7" s="86">
        <v>450000</v>
      </c>
      <c r="H7" s="24" t="s">
        <v>21</v>
      </c>
      <c r="I7" s="101">
        <v>450000</v>
      </c>
      <c r="J7" s="51" t="s">
        <v>22</v>
      </c>
    </row>
    <row r="8" ht="18" customHeight="1" spans="1:10">
      <c r="A8" s="24">
        <v>43041</v>
      </c>
      <c r="B8" s="2">
        <f t="shared" si="0"/>
        <v>315315.315315315</v>
      </c>
      <c r="C8" s="26">
        <v>0.02</v>
      </c>
      <c r="D8" s="85">
        <f t="shared" si="1"/>
        <v>6306.30630630631</v>
      </c>
      <c r="E8" s="26">
        <v>0.09</v>
      </c>
      <c r="F8" s="2">
        <f t="shared" si="2"/>
        <v>28378.3783783784</v>
      </c>
      <c r="G8" s="86">
        <v>350000</v>
      </c>
      <c r="H8" s="24" t="s">
        <v>23</v>
      </c>
      <c r="I8" s="101">
        <v>350000</v>
      </c>
      <c r="J8" s="51" t="s">
        <v>22</v>
      </c>
    </row>
    <row r="9" ht="18" customHeight="1" spans="1:10">
      <c r="A9" s="24">
        <v>43130</v>
      </c>
      <c r="B9" s="2">
        <f t="shared" si="0"/>
        <v>180180.18018018</v>
      </c>
      <c r="C9" s="26">
        <v>0.02</v>
      </c>
      <c r="D9" s="85">
        <f t="shared" si="1"/>
        <v>3603.6036036036</v>
      </c>
      <c r="E9" s="26">
        <v>0.09</v>
      </c>
      <c r="F9" s="2">
        <f t="shared" si="2"/>
        <v>16216.2162162162</v>
      </c>
      <c r="G9" s="86">
        <v>200000</v>
      </c>
      <c r="H9" s="24" t="s">
        <v>24</v>
      </c>
      <c r="I9" s="101">
        <v>200000</v>
      </c>
      <c r="J9" s="51" t="s">
        <v>22</v>
      </c>
    </row>
    <row r="10" ht="18" customHeight="1" spans="1:10">
      <c r="A10" s="24">
        <v>43479</v>
      </c>
      <c r="B10" s="2">
        <f t="shared" si="0"/>
        <v>181818.181818182</v>
      </c>
      <c r="C10" s="26">
        <v>0.02</v>
      </c>
      <c r="D10" s="85">
        <f t="shared" si="1"/>
        <v>3636.36363636364</v>
      </c>
      <c r="E10" s="26">
        <v>0.08</v>
      </c>
      <c r="F10" s="2">
        <f t="shared" si="2"/>
        <v>14545.4545454545</v>
      </c>
      <c r="G10" s="86">
        <v>200000</v>
      </c>
      <c r="H10" s="24">
        <v>43507</v>
      </c>
      <c r="I10" s="101">
        <v>200000</v>
      </c>
      <c r="J10" s="51" t="s">
        <v>22</v>
      </c>
    </row>
    <row r="11" ht="18" customHeight="1" spans="1:10">
      <c r="A11" s="24">
        <v>43816</v>
      </c>
      <c r="B11" s="2">
        <f t="shared" si="0"/>
        <v>275229.357798165</v>
      </c>
      <c r="C11" s="29">
        <v>0.02</v>
      </c>
      <c r="D11" s="85">
        <f t="shared" si="1"/>
        <v>5504.5871559633</v>
      </c>
      <c r="E11" s="29">
        <v>0.07</v>
      </c>
      <c r="F11" s="2">
        <f t="shared" si="2"/>
        <v>19266.0550458716</v>
      </c>
      <c r="G11" s="86">
        <v>300000</v>
      </c>
      <c r="H11" s="24">
        <v>43851</v>
      </c>
      <c r="I11" s="101">
        <v>300000</v>
      </c>
      <c r="J11" s="51" t="s">
        <v>22</v>
      </c>
    </row>
    <row r="12" ht="18" customHeight="1" spans="1:10">
      <c r="A12" s="24">
        <v>44231</v>
      </c>
      <c r="B12" s="2">
        <f t="shared" si="0"/>
        <v>231309.266055046</v>
      </c>
      <c r="C12" s="29">
        <v>0.02</v>
      </c>
      <c r="D12" s="85">
        <f t="shared" si="1"/>
        <v>4626.18532110092</v>
      </c>
      <c r="E12" s="29">
        <v>0.07</v>
      </c>
      <c r="F12" s="2">
        <f t="shared" si="2"/>
        <v>16191.6486238532</v>
      </c>
      <c r="G12" s="86">
        <v>252127.1</v>
      </c>
      <c r="H12" s="24">
        <v>44265</v>
      </c>
      <c r="I12" s="101">
        <v>252127.1</v>
      </c>
      <c r="J12" s="51" t="s">
        <v>25</v>
      </c>
    </row>
    <row r="13" ht="18" customHeight="1" spans="1:10">
      <c r="A13" s="24"/>
      <c r="B13" s="2">
        <f t="shared" si="0"/>
        <v>0</v>
      </c>
      <c r="C13" s="29">
        <v>0.02</v>
      </c>
      <c r="D13" s="85">
        <f t="shared" si="1"/>
        <v>0</v>
      </c>
      <c r="E13" s="29">
        <v>0.07</v>
      </c>
      <c r="F13" s="2">
        <f t="shared" si="2"/>
        <v>0</v>
      </c>
      <c r="G13" s="86"/>
      <c r="H13" s="24"/>
      <c r="I13" s="101"/>
      <c r="J13" s="51"/>
    </row>
    <row r="14" ht="18" customHeight="1" spans="1:10">
      <c r="A14" s="30" t="s">
        <v>26</v>
      </c>
      <c r="B14" s="32">
        <f>SUM(B7:B13)</f>
        <v>1589257.70657229</v>
      </c>
      <c r="C14" s="32"/>
      <c r="D14" s="32">
        <f>SUM(D7:D13)</f>
        <v>31785.1541314459</v>
      </c>
      <c r="E14" s="32"/>
      <c r="F14" s="32">
        <f>SUM(F7:F13)</f>
        <v>131084.23929626</v>
      </c>
      <c r="G14" s="32">
        <f>SUM(G7:G13)</f>
        <v>1752127.1</v>
      </c>
      <c r="H14" s="33"/>
      <c r="I14" s="102">
        <f>SUM(I7:I13)</f>
        <v>1752127.1</v>
      </c>
      <c r="J14" s="33"/>
    </row>
    <row r="15" ht="18" customHeight="1" spans="1:12">
      <c r="A15" s="4" t="s">
        <v>27</v>
      </c>
      <c r="G15" s="5">
        <f>D3-G14</f>
        <v>35757.6699999999</v>
      </c>
      <c r="J15" s="6"/>
      <c r="K15" s="6"/>
      <c r="L15" s="7"/>
    </row>
    <row r="16" ht="18" customHeight="1" spans="1:15">
      <c r="A16" s="34" t="s">
        <v>28</v>
      </c>
      <c r="B16" s="22" t="s">
        <v>29</v>
      </c>
      <c r="C16" s="21" t="s">
        <v>30</v>
      </c>
      <c r="D16" s="21" t="s">
        <v>31</v>
      </c>
      <c r="E16" s="21" t="s">
        <v>16</v>
      </c>
      <c r="F16" s="22" t="s">
        <v>32</v>
      </c>
      <c r="G16" s="22" t="s">
        <v>14</v>
      </c>
      <c r="H16" s="21" t="s">
        <v>33</v>
      </c>
      <c r="I16" s="100" t="s">
        <v>34</v>
      </c>
      <c r="J16" s="21" t="s">
        <v>20</v>
      </c>
      <c r="K16" s="68" t="s">
        <v>35</v>
      </c>
      <c r="L16" s="23" t="s">
        <v>36</v>
      </c>
      <c r="M16" s="23" t="s">
        <v>37</v>
      </c>
      <c r="N16" s="23" t="s">
        <v>38</v>
      </c>
      <c r="O16" s="23" t="s">
        <v>39</v>
      </c>
    </row>
    <row r="17" s="3" customFormat="1" ht="18" customHeight="1" spans="1:15">
      <c r="A17" s="35">
        <v>42887</v>
      </c>
      <c r="B17" s="87">
        <f t="shared" ref="B17:B35" si="3">ROUND(G17/(1+E17),2)</f>
        <v>13535.04</v>
      </c>
      <c r="C17" s="36"/>
      <c r="D17" s="37" t="s">
        <v>40</v>
      </c>
      <c r="E17" s="38">
        <v>0.17</v>
      </c>
      <c r="F17" s="87">
        <f t="shared" ref="F17:F35" si="4">ROUND(G17/(1+E17)*E17,2)</f>
        <v>2300.96</v>
      </c>
      <c r="G17" s="86">
        <v>15836</v>
      </c>
      <c r="H17" s="24"/>
      <c r="I17" s="101"/>
      <c r="J17" s="51"/>
      <c r="K17" s="69" t="s">
        <v>41</v>
      </c>
      <c r="L17" s="70" t="s">
        <v>42</v>
      </c>
      <c r="M17" s="71"/>
      <c r="N17" s="71"/>
      <c r="O17" s="70" t="s">
        <v>43</v>
      </c>
    </row>
    <row r="18" s="3" customFormat="1" ht="18" customHeight="1" spans="1:15">
      <c r="A18" s="35">
        <v>42887</v>
      </c>
      <c r="B18" s="87">
        <f t="shared" si="3"/>
        <v>485436.89</v>
      </c>
      <c r="C18" s="36"/>
      <c r="D18" s="37" t="s">
        <v>40</v>
      </c>
      <c r="E18" s="38">
        <v>0.03</v>
      </c>
      <c r="F18" s="87">
        <f t="shared" si="4"/>
        <v>14563.11</v>
      </c>
      <c r="G18" s="86">
        <v>500000</v>
      </c>
      <c r="H18" s="24"/>
      <c r="I18" s="101"/>
      <c r="J18" s="51"/>
      <c r="K18" s="69" t="s">
        <v>44</v>
      </c>
      <c r="L18" s="70" t="s">
        <v>45</v>
      </c>
      <c r="M18" s="71"/>
      <c r="N18" s="71"/>
      <c r="O18" s="70"/>
    </row>
    <row r="19" s="3" customFormat="1" ht="18" customHeight="1" spans="1:15">
      <c r="A19" s="35">
        <v>42948</v>
      </c>
      <c r="B19" s="87">
        <f t="shared" si="3"/>
        <v>57526</v>
      </c>
      <c r="C19" s="36"/>
      <c r="D19" s="37"/>
      <c r="E19" s="38"/>
      <c r="F19" s="87">
        <f t="shared" si="4"/>
        <v>0</v>
      </c>
      <c r="G19" s="86">
        <v>57526</v>
      </c>
      <c r="H19" s="24"/>
      <c r="I19" s="101"/>
      <c r="J19" s="51"/>
      <c r="K19" s="69" t="s">
        <v>46</v>
      </c>
      <c r="L19" s="70"/>
      <c r="M19" s="71"/>
      <c r="N19" s="71"/>
      <c r="O19" s="70"/>
    </row>
    <row r="20" s="3" customFormat="1" ht="18" customHeight="1" spans="1:15">
      <c r="A20" s="35">
        <v>42948</v>
      </c>
      <c r="B20" s="87">
        <f t="shared" si="3"/>
        <v>7008.55</v>
      </c>
      <c r="C20" s="36"/>
      <c r="D20" s="37" t="s">
        <v>40</v>
      </c>
      <c r="E20" s="38">
        <v>0.17</v>
      </c>
      <c r="F20" s="87">
        <f t="shared" si="4"/>
        <v>1191.45</v>
      </c>
      <c r="G20" s="86">
        <v>8200</v>
      </c>
      <c r="H20" s="39"/>
      <c r="I20" s="103"/>
      <c r="J20" s="72"/>
      <c r="K20" s="69" t="s">
        <v>41</v>
      </c>
      <c r="L20" s="74" t="s">
        <v>42</v>
      </c>
      <c r="M20" s="75"/>
      <c r="N20" s="75"/>
      <c r="O20" s="70"/>
    </row>
    <row r="21" s="3" customFormat="1" ht="18" customHeight="1" spans="1:15">
      <c r="A21" s="35">
        <v>42948</v>
      </c>
      <c r="B21" s="87">
        <f t="shared" si="3"/>
        <v>87526</v>
      </c>
      <c r="C21" s="36"/>
      <c r="D21" s="37"/>
      <c r="E21" s="38"/>
      <c r="F21" s="87">
        <f t="shared" si="4"/>
        <v>0</v>
      </c>
      <c r="G21" s="86">
        <v>87526</v>
      </c>
      <c r="H21" s="39"/>
      <c r="I21" s="103"/>
      <c r="J21" s="72"/>
      <c r="K21" s="73" t="s">
        <v>46</v>
      </c>
      <c r="L21" s="74"/>
      <c r="M21" s="75"/>
      <c r="N21" s="75"/>
      <c r="O21" s="70" t="s">
        <v>47</v>
      </c>
    </row>
    <row r="22" s="3" customFormat="1" ht="18" customHeight="1" spans="1:15">
      <c r="A22" s="35"/>
      <c r="B22" s="87">
        <f t="shared" si="3"/>
        <v>0</v>
      </c>
      <c r="C22" s="36"/>
      <c r="D22" s="37"/>
      <c r="E22" s="38"/>
      <c r="F22" s="87">
        <f t="shared" si="4"/>
        <v>0</v>
      </c>
      <c r="G22" s="86"/>
      <c r="H22" s="39" t="s">
        <v>21</v>
      </c>
      <c r="I22" s="104">
        <v>13973.26</v>
      </c>
      <c r="J22" s="72"/>
      <c r="K22" s="73" t="s">
        <v>48</v>
      </c>
      <c r="L22" s="74"/>
      <c r="M22" s="75"/>
      <c r="N22" s="75"/>
      <c r="O22" s="70"/>
    </row>
    <row r="23" s="3" customFormat="1" ht="18" customHeight="1" spans="1:15">
      <c r="A23" s="35"/>
      <c r="B23" s="87">
        <f t="shared" si="3"/>
        <v>0</v>
      </c>
      <c r="C23" s="36"/>
      <c r="D23" s="37"/>
      <c r="E23" s="38"/>
      <c r="F23" s="87">
        <f t="shared" si="4"/>
        <v>0</v>
      </c>
      <c r="G23" s="86"/>
      <c r="H23" s="39" t="s">
        <v>21</v>
      </c>
      <c r="I23" s="104">
        <v>300000</v>
      </c>
      <c r="J23" s="72"/>
      <c r="K23" s="73" t="s">
        <v>44</v>
      </c>
      <c r="L23" s="74"/>
      <c r="M23" s="75"/>
      <c r="N23" s="75"/>
      <c r="O23" s="70"/>
    </row>
    <row r="24" s="3" customFormat="1" ht="18" customHeight="1" spans="1:15">
      <c r="A24" s="35" t="s">
        <v>21</v>
      </c>
      <c r="B24" s="87">
        <f t="shared" si="3"/>
        <v>57410</v>
      </c>
      <c r="C24" s="36"/>
      <c r="D24" s="37"/>
      <c r="E24" s="38"/>
      <c r="F24" s="87">
        <f t="shared" si="4"/>
        <v>0</v>
      </c>
      <c r="G24" s="86">
        <v>57410</v>
      </c>
      <c r="H24" s="39"/>
      <c r="I24" s="104"/>
      <c r="J24" s="72"/>
      <c r="K24" s="73" t="s">
        <v>46</v>
      </c>
      <c r="L24" s="74"/>
      <c r="M24" s="75"/>
      <c r="N24" s="75"/>
      <c r="O24" s="70"/>
    </row>
    <row r="25" s="3" customFormat="1" ht="18" customHeight="1" spans="1:15">
      <c r="A25" s="35" t="s">
        <v>23</v>
      </c>
      <c r="B25" s="87">
        <f t="shared" si="3"/>
        <v>57411</v>
      </c>
      <c r="C25" s="36"/>
      <c r="D25" s="37"/>
      <c r="E25" s="38"/>
      <c r="F25" s="87">
        <f t="shared" si="4"/>
        <v>0</v>
      </c>
      <c r="G25" s="86">
        <v>57411</v>
      </c>
      <c r="H25" s="39"/>
      <c r="I25" s="104"/>
      <c r="J25" s="72"/>
      <c r="K25" s="73" t="s">
        <v>46</v>
      </c>
      <c r="L25" s="74"/>
      <c r="M25" s="75"/>
      <c r="N25" s="75"/>
      <c r="O25" s="70"/>
    </row>
    <row r="26" s="3" customFormat="1" ht="18" customHeight="1" spans="1:15">
      <c r="A26" s="35" t="s">
        <v>23</v>
      </c>
      <c r="B26" s="87">
        <f t="shared" si="3"/>
        <v>86000</v>
      </c>
      <c r="C26" s="36"/>
      <c r="D26" s="37"/>
      <c r="E26" s="38"/>
      <c r="F26" s="87">
        <f t="shared" si="4"/>
        <v>0</v>
      </c>
      <c r="G26" s="86">
        <v>86000</v>
      </c>
      <c r="H26" s="39"/>
      <c r="I26" s="104"/>
      <c r="J26" s="72"/>
      <c r="K26" s="73" t="s">
        <v>48</v>
      </c>
      <c r="L26" s="74" t="s">
        <v>49</v>
      </c>
      <c r="M26" s="75"/>
      <c r="N26" s="75"/>
      <c r="O26" s="70"/>
    </row>
    <row r="27" s="3" customFormat="1" ht="18" customHeight="1" spans="1:15">
      <c r="A27" s="35">
        <v>43040</v>
      </c>
      <c r="B27" s="87">
        <f t="shared" si="3"/>
        <v>218446.6</v>
      </c>
      <c r="C27" s="36"/>
      <c r="D27" s="37" t="s">
        <v>40</v>
      </c>
      <c r="E27" s="38">
        <v>0.03</v>
      </c>
      <c r="F27" s="87">
        <f t="shared" si="4"/>
        <v>6553.4</v>
      </c>
      <c r="G27" s="86">
        <v>225000</v>
      </c>
      <c r="H27" s="39" t="s">
        <v>50</v>
      </c>
      <c r="I27" s="104">
        <v>225000</v>
      </c>
      <c r="J27" s="72"/>
      <c r="K27" s="73" t="s">
        <v>51</v>
      </c>
      <c r="L27" s="74" t="s">
        <v>52</v>
      </c>
      <c r="M27" s="75"/>
      <c r="N27" s="75"/>
      <c r="O27" s="70"/>
    </row>
    <row r="28" s="3" customFormat="1" ht="18" customHeight="1" spans="1:15">
      <c r="A28" s="35">
        <v>43040</v>
      </c>
      <c r="B28" s="87">
        <f t="shared" si="3"/>
        <v>228205.13</v>
      </c>
      <c r="C28" s="36"/>
      <c r="D28" s="37" t="s">
        <v>40</v>
      </c>
      <c r="E28" s="38">
        <v>0.17</v>
      </c>
      <c r="F28" s="87">
        <f t="shared" si="4"/>
        <v>38794.87</v>
      </c>
      <c r="G28" s="86">
        <v>267000</v>
      </c>
      <c r="H28" s="39" t="s">
        <v>50</v>
      </c>
      <c r="I28" s="104">
        <v>267000</v>
      </c>
      <c r="J28" s="72"/>
      <c r="K28" s="73" t="s">
        <v>53</v>
      </c>
      <c r="L28" s="74" t="s">
        <v>54</v>
      </c>
      <c r="M28" s="75"/>
      <c r="N28" s="75"/>
      <c r="O28" s="70"/>
    </row>
    <row r="29" s="3" customFormat="1" ht="18" customHeight="1" spans="1:15">
      <c r="A29" s="35">
        <v>43941</v>
      </c>
      <c r="B29" s="87">
        <f t="shared" si="3"/>
        <v>300000</v>
      </c>
      <c r="C29" s="36"/>
      <c r="D29" s="37" t="s">
        <v>55</v>
      </c>
      <c r="E29" s="38"/>
      <c r="F29" s="87">
        <f t="shared" si="4"/>
        <v>0</v>
      </c>
      <c r="G29" s="86">
        <v>300000</v>
      </c>
      <c r="H29" s="39">
        <v>43943</v>
      </c>
      <c r="I29" s="104">
        <v>300000</v>
      </c>
      <c r="J29" s="72" t="s">
        <v>22</v>
      </c>
      <c r="K29" s="73" t="s">
        <v>56</v>
      </c>
      <c r="L29" s="74"/>
      <c r="M29" s="75"/>
      <c r="N29" s="75"/>
      <c r="O29" s="70"/>
    </row>
    <row r="30" s="3" customFormat="1" ht="18" customHeight="1" spans="1:15">
      <c r="A30" s="35"/>
      <c r="B30" s="87">
        <f t="shared" si="3"/>
        <v>0</v>
      </c>
      <c r="C30" s="36"/>
      <c r="D30" s="37"/>
      <c r="E30" s="38"/>
      <c r="F30" s="87">
        <f t="shared" si="4"/>
        <v>0</v>
      </c>
      <c r="G30" s="86"/>
      <c r="H30" s="39" t="s">
        <v>50</v>
      </c>
      <c r="I30" s="104">
        <v>-3638.72</v>
      </c>
      <c r="J30" s="72"/>
      <c r="K30" s="73" t="s">
        <v>48</v>
      </c>
      <c r="L30" s="74"/>
      <c r="M30" s="75"/>
      <c r="N30" s="75"/>
      <c r="O30" s="70"/>
    </row>
    <row r="31" s="3" customFormat="1" ht="18" customHeight="1" spans="1:15">
      <c r="A31" s="35"/>
      <c r="B31" s="87">
        <f t="shared" si="3"/>
        <v>0</v>
      </c>
      <c r="C31" s="36"/>
      <c r="D31" s="37"/>
      <c r="E31" s="38"/>
      <c r="F31" s="87">
        <f t="shared" si="4"/>
        <v>0</v>
      </c>
      <c r="G31" s="86"/>
      <c r="H31" s="39" t="s">
        <v>57</v>
      </c>
      <c r="I31" s="104">
        <v>113891</v>
      </c>
      <c r="J31" s="72"/>
      <c r="K31" s="73" t="s">
        <v>48</v>
      </c>
      <c r="L31" s="74"/>
      <c r="M31" s="75"/>
      <c r="N31" s="75"/>
      <c r="O31" s="70"/>
    </row>
    <row r="32" s="3" customFormat="1" ht="18" customHeight="1" spans="1:15">
      <c r="A32" s="35"/>
      <c r="B32" s="87">
        <f t="shared" si="3"/>
        <v>0</v>
      </c>
      <c r="C32" s="36"/>
      <c r="D32" s="37"/>
      <c r="E32" s="38"/>
      <c r="F32" s="87">
        <f t="shared" si="4"/>
        <v>0</v>
      </c>
      <c r="G32" s="86"/>
      <c r="H32" s="39" t="s">
        <v>57</v>
      </c>
      <c r="I32" s="104">
        <v>86000</v>
      </c>
      <c r="J32" s="72"/>
      <c r="K32" s="73" t="s">
        <v>58</v>
      </c>
      <c r="L32" s="74"/>
      <c r="M32" s="75"/>
      <c r="N32" s="75"/>
      <c r="O32" s="70"/>
    </row>
    <row r="33" s="3" customFormat="1" ht="18" customHeight="1" spans="1:15">
      <c r="A33" s="35"/>
      <c r="B33" s="87">
        <f t="shared" si="3"/>
        <v>0</v>
      </c>
      <c r="C33" s="36"/>
      <c r="D33" s="37"/>
      <c r="E33" s="38"/>
      <c r="F33" s="87">
        <f t="shared" si="4"/>
        <v>0</v>
      </c>
      <c r="G33" s="86"/>
      <c r="H33" s="39"/>
      <c r="I33" s="104"/>
      <c r="J33" s="72"/>
      <c r="K33" s="73"/>
      <c r="L33" s="74"/>
      <c r="M33" s="75"/>
      <c r="N33" s="75"/>
      <c r="O33" s="70"/>
    </row>
    <row r="34" s="3" customFormat="1" ht="18" customHeight="1" spans="1:15">
      <c r="A34" s="35"/>
      <c r="B34" s="87">
        <f t="shared" si="3"/>
        <v>0</v>
      </c>
      <c r="C34" s="36"/>
      <c r="D34" s="37"/>
      <c r="E34" s="38"/>
      <c r="F34" s="87">
        <f t="shared" si="4"/>
        <v>0</v>
      </c>
      <c r="G34" s="86"/>
      <c r="H34" s="39">
        <v>43499</v>
      </c>
      <c r="I34" s="105">
        <v>181890</v>
      </c>
      <c r="J34" s="72" t="s">
        <v>22</v>
      </c>
      <c r="K34" s="73" t="s">
        <v>44</v>
      </c>
      <c r="L34" s="74" t="s">
        <v>45</v>
      </c>
      <c r="M34" s="75"/>
      <c r="N34" s="75"/>
      <c r="O34" s="70"/>
    </row>
    <row r="35" s="3" customFormat="1" ht="18" customHeight="1" spans="1:15">
      <c r="A35" s="35"/>
      <c r="B35" s="87">
        <f t="shared" si="3"/>
        <v>0</v>
      </c>
      <c r="C35" s="36"/>
      <c r="D35" s="37"/>
      <c r="E35" s="38"/>
      <c r="F35" s="87">
        <f t="shared" si="4"/>
        <v>0</v>
      </c>
      <c r="G35" s="86"/>
      <c r="H35" s="39">
        <v>44299</v>
      </c>
      <c r="I35" s="105">
        <v>208998.85</v>
      </c>
      <c r="J35" s="75" t="s">
        <v>59</v>
      </c>
      <c r="K35" s="73" t="s">
        <v>48</v>
      </c>
      <c r="L35" s="74" t="s">
        <v>60</v>
      </c>
      <c r="M35" s="75"/>
      <c r="N35" s="75"/>
      <c r="O35" s="70"/>
    </row>
    <row r="36" s="3" customFormat="1" ht="18" customHeight="1" spans="1:15">
      <c r="A36" s="35"/>
      <c r="B36" s="87"/>
      <c r="C36" s="36"/>
      <c r="D36" s="37"/>
      <c r="E36" s="38"/>
      <c r="F36" s="87"/>
      <c r="G36" s="86"/>
      <c r="H36" s="39"/>
      <c r="I36" s="106"/>
      <c r="J36" s="107"/>
      <c r="K36" s="108"/>
      <c r="L36" s="74"/>
      <c r="M36" s="75"/>
      <c r="N36" s="75"/>
      <c r="O36" s="70"/>
    </row>
    <row r="37" s="3" customFormat="1" ht="18" customHeight="1" spans="1:15">
      <c r="A37" s="35"/>
      <c r="B37" s="87">
        <f>ROUND(G37/(1+E37),2)</f>
        <v>0</v>
      </c>
      <c r="C37" s="36"/>
      <c r="D37" s="37"/>
      <c r="E37" s="38"/>
      <c r="F37" s="87">
        <f>ROUND(G37/(1+E37)*E37,2)</f>
        <v>0</v>
      </c>
      <c r="G37" s="86"/>
      <c r="H37" s="39">
        <v>44278</v>
      </c>
      <c r="I37" s="109">
        <v>200</v>
      </c>
      <c r="J37" s="72" t="s">
        <v>61</v>
      </c>
      <c r="K37" s="110" t="s">
        <v>62</v>
      </c>
      <c r="L37" s="74"/>
      <c r="M37" s="75"/>
      <c r="N37" s="75"/>
      <c r="O37" s="70"/>
    </row>
    <row r="38" s="3" customFormat="1" ht="18" customHeight="1" spans="1:15">
      <c r="A38" s="35"/>
      <c r="B38" s="87">
        <f t="shared" ref="B38:B43" si="5">ROUND(G38/(1+E38),2)</f>
        <v>1420.85</v>
      </c>
      <c r="C38" s="36"/>
      <c r="D38" s="37"/>
      <c r="E38" s="38"/>
      <c r="F38" s="87">
        <f t="shared" ref="F38:F44" si="6">ROUND(G38/(1+E38)*E38,2)</f>
        <v>0</v>
      </c>
      <c r="G38" s="86">
        <v>1420.85</v>
      </c>
      <c r="H38" s="39">
        <v>44278</v>
      </c>
      <c r="I38" s="105">
        <v>1420.85</v>
      </c>
      <c r="J38" s="72" t="s">
        <v>61</v>
      </c>
      <c r="K38" s="69" t="s">
        <v>63</v>
      </c>
      <c r="L38" s="74"/>
      <c r="M38" s="75"/>
      <c r="N38" s="75"/>
      <c r="O38" s="70"/>
    </row>
    <row r="39" s="3" customFormat="1" ht="18" customHeight="1" spans="1:15">
      <c r="A39" s="35"/>
      <c r="B39" s="87">
        <f t="shared" si="5"/>
        <v>0</v>
      </c>
      <c r="C39" s="36"/>
      <c r="D39" s="37"/>
      <c r="E39" s="38"/>
      <c r="F39" s="87">
        <f t="shared" si="6"/>
        <v>0</v>
      </c>
      <c r="G39" s="86"/>
      <c r="H39" s="39">
        <v>44278</v>
      </c>
      <c r="I39" s="105">
        <v>-2000</v>
      </c>
      <c r="J39" s="72" t="s">
        <v>64</v>
      </c>
      <c r="K39" s="69" t="s">
        <v>65</v>
      </c>
      <c r="L39" s="74"/>
      <c r="M39" s="75"/>
      <c r="N39" s="75"/>
      <c r="O39" s="70"/>
    </row>
    <row r="40" s="3" customFormat="1" ht="18" customHeight="1" spans="1:15">
      <c r="A40" s="35"/>
      <c r="B40" s="87">
        <f t="shared" si="5"/>
        <v>0</v>
      </c>
      <c r="C40" s="36"/>
      <c r="D40" s="37"/>
      <c r="E40" s="38"/>
      <c r="F40" s="87">
        <f t="shared" si="6"/>
        <v>0</v>
      </c>
      <c r="G40" s="86"/>
      <c r="H40" s="39">
        <v>44278</v>
      </c>
      <c r="I40" s="105">
        <v>200</v>
      </c>
      <c r="J40" s="72" t="s">
        <v>61</v>
      </c>
      <c r="K40" s="69" t="s">
        <v>62</v>
      </c>
      <c r="L40" s="74"/>
      <c r="M40" s="75"/>
      <c r="N40" s="75"/>
      <c r="O40" s="70"/>
    </row>
    <row r="41" s="3" customFormat="1" ht="18" customHeight="1" spans="1:15">
      <c r="A41" s="35"/>
      <c r="B41" s="87">
        <f t="shared" si="5"/>
        <v>0</v>
      </c>
      <c r="C41" s="36"/>
      <c r="D41" s="37"/>
      <c r="E41" s="38"/>
      <c r="F41" s="87">
        <f t="shared" si="6"/>
        <v>0</v>
      </c>
      <c r="G41" s="86"/>
      <c r="H41" s="39">
        <v>44278</v>
      </c>
      <c r="I41" s="105">
        <v>3308.36</v>
      </c>
      <c r="J41" s="72" t="s">
        <v>61</v>
      </c>
      <c r="K41" s="73" t="s">
        <v>66</v>
      </c>
      <c r="L41" s="74"/>
      <c r="M41" s="75"/>
      <c r="N41" s="75"/>
      <c r="O41" s="70"/>
    </row>
    <row r="42" s="3" customFormat="1" ht="18" customHeight="1" spans="1:15">
      <c r="A42" s="35"/>
      <c r="B42" s="87">
        <f t="shared" si="5"/>
        <v>0</v>
      </c>
      <c r="C42" s="36"/>
      <c r="D42" s="37"/>
      <c r="E42" s="38"/>
      <c r="F42" s="87">
        <f t="shared" si="6"/>
        <v>0</v>
      </c>
      <c r="G42" s="86"/>
      <c r="H42" s="39">
        <v>43942</v>
      </c>
      <c r="I42" s="104">
        <v>-100</v>
      </c>
      <c r="J42" s="72" t="s">
        <v>67</v>
      </c>
      <c r="K42" s="73" t="s">
        <v>68</v>
      </c>
      <c r="L42" s="74" t="s">
        <v>69</v>
      </c>
      <c r="M42" s="75"/>
      <c r="N42" s="75"/>
      <c r="O42" s="70"/>
    </row>
    <row r="43" s="3" customFormat="1" ht="18" customHeight="1" spans="1:15">
      <c r="A43" s="35"/>
      <c r="B43" s="87">
        <f t="shared" si="5"/>
        <v>0</v>
      </c>
      <c r="C43" s="36"/>
      <c r="D43" s="37"/>
      <c r="E43" s="38"/>
      <c r="F43" s="87">
        <f t="shared" si="6"/>
        <v>0</v>
      </c>
      <c r="G43" s="86"/>
      <c r="H43" s="39">
        <v>43942</v>
      </c>
      <c r="I43" s="104">
        <v>-3000</v>
      </c>
      <c r="J43" s="72" t="s">
        <v>67</v>
      </c>
      <c r="K43" s="73" t="s">
        <v>70</v>
      </c>
      <c r="L43" s="74" t="s">
        <v>69</v>
      </c>
      <c r="M43" s="75"/>
      <c r="N43" s="75"/>
      <c r="O43" s="70" t="s">
        <v>71</v>
      </c>
    </row>
    <row r="44" s="3" customFormat="1" ht="18" customHeight="1" spans="1:15">
      <c r="A44" s="35"/>
      <c r="B44" s="87">
        <f t="shared" ref="B44:B57" si="7">ROUND(G44/(1+E44),2)</f>
        <v>0</v>
      </c>
      <c r="C44" s="36"/>
      <c r="D44" s="37"/>
      <c r="E44" s="38"/>
      <c r="F44" s="87">
        <f t="shared" si="6"/>
        <v>0</v>
      </c>
      <c r="G44" s="86"/>
      <c r="H44" s="39">
        <v>43942</v>
      </c>
      <c r="I44" s="104">
        <v>-166</v>
      </c>
      <c r="J44" s="72" t="s">
        <v>67</v>
      </c>
      <c r="K44" s="73" t="s">
        <v>72</v>
      </c>
      <c r="L44" s="74" t="s">
        <v>69</v>
      </c>
      <c r="M44" s="75"/>
      <c r="N44" s="75"/>
      <c r="O44" s="70"/>
    </row>
    <row r="45" s="3" customFormat="1" ht="18" customHeight="1" spans="1:15">
      <c r="A45" s="35"/>
      <c r="B45" s="87">
        <f t="shared" si="7"/>
        <v>0</v>
      </c>
      <c r="C45" s="36"/>
      <c r="D45" s="37"/>
      <c r="E45" s="38"/>
      <c r="F45" s="87">
        <f t="shared" ref="F45:F57" si="8">ROUND(G45/(1+E45)*E45,2)</f>
        <v>0</v>
      </c>
      <c r="G45" s="86"/>
      <c r="H45" s="39" t="s">
        <v>73</v>
      </c>
      <c r="I45" s="111">
        <v>166</v>
      </c>
      <c r="J45" s="51" t="s">
        <v>61</v>
      </c>
      <c r="K45" s="69" t="s">
        <v>74</v>
      </c>
      <c r="L45" s="70"/>
      <c r="M45" s="71"/>
      <c r="N45" s="71"/>
      <c r="O45" s="70"/>
    </row>
    <row r="46" s="3" customFormat="1" ht="18" customHeight="1" spans="1:15">
      <c r="A46" s="35"/>
      <c r="B46" s="87">
        <f t="shared" si="7"/>
        <v>0</v>
      </c>
      <c r="C46" s="36"/>
      <c r="D46" s="37"/>
      <c r="E46" s="38"/>
      <c r="F46" s="87">
        <f t="shared" si="8"/>
        <v>0</v>
      </c>
      <c r="G46" s="86"/>
      <c r="H46" s="24" t="s">
        <v>73</v>
      </c>
      <c r="I46" s="111">
        <v>3000</v>
      </c>
      <c r="J46" s="51" t="s">
        <v>75</v>
      </c>
      <c r="K46" s="69" t="s">
        <v>65</v>
      </c>
      <c r="L46" s="70"/>
      <c r="M46" s="71"/>
      <c r="N46" s="71"/>
      <c r="O46" s="70"/>
    </row>
    <row r="47" s="3" customFormat="1" ht="18" customHeight="1" spans="1:15">
      <c r="A47" s="35"/>
      <c r="B47" s="87">
        <f t="shared" si="7"/>
        <v>0</v>
      </c>
      <c r="C47" s="36"/>
      <c r="D47" s="37"/>
      <c r="E47" s="38"/>
      <c r="F47" s="87">
        <f t="shared" si="8"/>
        <v>0</v>
      </c>
      <c r="G47" s="86"/>
      <c r="H47" s="24" t="s">
        <v>73</v>
      </c>
      <c r="I47" s="111">
        <v>100</v>
      </c>
      <c r="J47" s="51" t="s">
        <v>61</v>
      </c>
      <c r="K47" s="69" t="s">
        <v>62</v>
      </c>
      <c r="L47" s="70"/>
      <c r="M47" s="71"/>
      <c r="N47" s="71"/>
      <c r="O47" s="70"/>
    </row>
    <row r="48" s="3" customFormat="1" ht="18" customHeight="1" spans="1:15">
      <c r="A48" s="35"/>
      <c r="B48" s="87">
        <f t="shared" si="7"/>
        <v>0</v>
      </c>
      <c r="C48" s="36"/>
      <c r="D48" s="37"/>
      <c r="E48" s="38"/>
      <c r="F48" s="87">
        <f t="shared" si="8"/>
        <v>0</v>
      </c>
      <c r="G48" s="86"/>
      <c r="H48" s="24" t="s">
        <v>76</v>
      </c>
      <c r="I48" s="111">
        <v>-18134.65</v>
      </c>
      <c r="J48" s="51" t="s">
        <v>77</v>
      </c>
      <c r="K48" s="69" t="s">
        <v>78</v>
      </c>
      <c r="L48" s="70"/>
      <c r="M48" s="71"/>
      <c r="N48" s="71"/>
      <c r="O48" s="70" t="s">
        <v>79</v>
      </c>
    </row>
    <row r="49" s="3" customFormat="1" ht="18" customHeight="1" spans="1:15">
      <c r="A49" s="35"/>
      <c r="B49" s="87">
        <f t="shared" si="7"/>
        <v>0</v>
      </c>
      <c r="C49" s="36"/>
      <c r="D49" s="37"/>
      <c r="E49" s="38"/>
      <c r="F49" s="87">
        <f t="shared" si="8"/>
        <v>0</v>
      </c>
      <c r="G49" s="86"/>
      <c r="H49" s="24" t="s">
        <v>76</v>
      </c>
      <c r="I49" s="111">
        <v>18134.6464587156</v>
      </c>
      <c r="J49" s="51" t="s">
        <v>61</v>
      </c>
      <c r="K49" s="69" t="s">
        <v>80</v>
      </c>
      <c r="L49" s="70"/>
      <c r="M49" s="71"/>
      <c r="N49" s="71"/>
      <c r="O49" s="70"/>
    </row>
    <row r="50" s="3" customFormat="1" ht="18" customHeight="1" spans="1:15">
      <c r="A50" s="35"/>
      <c r="B50" s="87">
        <f t="shared" si="7"/>
        <v>0</v>
      </c>
      <c r="C50" s="36"/>
      <c r="D50" s="37"/>
      <c r="E50" s="38"/>
      <c r="F50" s="87">
        <f t="shared" si="8"/>
        <v>0</v>
      </c>
      <c r="G50" s="86"/>
      <c r="H50" s="24">
        <v>43817</v>
      </c>
      <c r="I50" s="111">
        <v>-21192.66</v>
      </c>
      <c r="J50" s="51" t="s">
        <v>81</v>
      </c>
      <c r="K50" s="78" t="s">
        <v>82</v>
      </c>
      <c r="L50" s="70"/>
      <c r="M50" s="71"/>
      <c r="N50" s="71"/>
      <c r="O50" s="70"/>
    </row>
    <row r="51" s="3" customFormat="1" ht="18" customHeight="1" spans="1:15">
      <c r="A51" s="35"/>
      <c r="B51" s="87">
        <f t="shared" si="7"/>
        <v>0</v>
      </c>
      <c r="C51" s="36"/>
      <c r="D51" s="37"/>
      <c r="E51" s="38"/>
      <c r="F51" s="87">
        <f t="shared" si="8"/>
        <v>0</v>
      </c>
      <c r="G51" s="86"/>
      <c r="H51" s="24"/>
      <c r="I51" s="112">
        <v>21192.6605504587</v>
      </c>
      <c r="J51" s="51" t="s">
        <v>61</v>
      </c>
      <c r="K51" s="69" t="s">
        <v>83</v>
      </c>
      <c r="L51" s="70"/>
      <c r="M51" s="71"/>
      <c r="N51" s="71"/>
      <c r="O51" s="70"/>
    </row>
    <row r="52" s="3" customFormat="1" ht="18" customHeight="1" spans="1:15">
      <c r="A52" s="35"/>
      <c r="B52" s="87">
        <f t="shared" si="7"/>
        <v>0</v>
      </c>
      <c r="C52" s="36"/>
      <c r="D52" s="37"/>
      <c r="E52" s="38"/>
      <c r="F52" s="87">
        <f t="shared" si="8"/>
        <v>0</v>
      </c>
      <c r="G52" s="86"/>
      <c r="H52" s="24"/>
      <c r="I52" s="113">
        <v>110</v>
      </c>
      <c r="J52" s="51" t="s">
        <v>61</v>
      </c>
      <c r="K52" s="69" t="s">
        <v>74</v>
      </c>
      <c r="L52" s="70"/>
      <c r="M52" s="71"/>
      <c r="N52" s="71"/>
      <c r="O52" s="70"/>
    </row>
    <row r="53" s="3" customFormat="1" ht="18" customHeight="1" spans="1:15">
      <c r="A53" s="35"/>
      <c r="B53" s="87">
        <f t="shared" si="7"/>
        <v>0</v>
      </c>
      <c r="C53" s="36"/>
      <c r="D53" s="37"/>
      <c r="E53" s="38"/>
      <c r="F53" s="87">
        <f t="shared" si="8"/>
        <v>0</v>
      </c>
      <c r="G53" s="86"/>
      <c r="H53" s="24"/>
      <c r="I53" s="113">
        <v>16000</v>
      </c>
      <c r="J53" s="51" t="s">
        <v>61</v>
      </c>
      <c r="K53" s="69" t="s">
        <v>84</v>
      </c>
      <c r="L53" s="70"/>
      <c r="M53" s="71"/>
      <c r="N53" s="71"/>
      <c r="O53" s="70"/>
    </row>
    <row r="54" s="3" customFormat="1" ht="18" customHeight="1" spans="1:15">
      <c r="A54" s="35"/>
      <c r="B54" s="87">
        <f t="shared" si="7"/>
        <v>0</v>
      </c>
      <c r="C54" s="36"/>
      <c r="D54" s="37"/>
      <c r="E54" s="38"/>
      <c r="F54" s="87">
        <f t="shared" si="8"/>
        <v>0</v>
      </c>
      <c r="G54" s="86"/>
      <c r="H54" s="24"/>
      <c r="I54" s="101">
        <v>2000</v>
      </c>
      <c r="J54" s="51" t="s">
        <v>75</v>
      </c>
      <c r="K54" s="69" t="s">
        <v>65</v>
      </c>
      <c r="L54" s="70"/>
      <c r="M54" s="71"/>
      <c r="N54" s="71"/>
      <c r="O54" s="70"/>
    </row>
    <row r="55" s="3" customFormat="1" ht="18" customHeight="1" spans="1:15">
      <c r="A55" s="35"/>
      <c r="B55" s="87">
        <f t="shared" si="7"/>
        <v>0</v>
      </c>
      <c r="C55" s="36"/>
      <c r="D55" s="37"/>
      <c r="E55" s="37"/>
      <c r="F55" s="87">
        <f t="shared" si="8"/>
        <v>0</v>
      </c>
      <c r="G55" s="86"/>
      <c r="H55" s="24"/>
      <c r="I55" s="101">
        <v>500</v>
      </c>
      <c r="J55" s="51" t="s">
        <v>61</v>
      </c>
      <c r="K55" s="69" t="s">
        <v>85</v>
      </c>
      <c r="L55" s="70"/>
      <c r="M55" s="71"/>
      <c r="N55" s="71"/>
      <c r="O55" s="70"/>
    </row>
    <row r="56" s="3" customFormat="1" ht="18" customHeight="1" spans="1:15">
      <c r="A56" s="35"/>
      <c r="B56" s="87">
        <f t="shared" si="7"/>
        <v>0</v>
      </c>
      <c r="C56" s="36"/>
      <c r="E56" s="38"/>
      <c r="F56" s="87">
        <f t="shared" si="8"/>
        <v>0</v>
      </c>
      <c r="G56" s="86"/>
      <c r="H56" s="24"/>
      <c r="I56" s="101">
        <v>20815.5</v>
      </c>
      <c r="J56" s="51" t="s">
        <v>61</v>
      </c>
      <c r="K56" s="69" t="s">
        <v>86</v>
      </c>
      <c r="L56" s="70"/>
      <c r="M56" s="71"/>
      <c r="N56" s="71"/>
      <c r="O56" s="70"/>
    </row>
    <row r="57" s="3" customFormat="1" ht="18" customHeight="1" spans="1:15">
      <c r="A57" s="35"/>
      <c r="B57" s="87">
        <f t="shared" si="7"/>
        <v>16458</v>
      </c>
      <c r="C57" s="36"/>
      <c r="D57" s="37"/>
      <c r="E57" s="38"/>
      <c r="F57" s="87">
        <f t="shared" si="8"/>
        <v>0</v>
      </c>
      <c r="G57" s="86">
        <v>16458</v>
      </c>
      <c r="H57" s="24"/>
      <c r="I57" s="101">
        <v>16458</v>
      </c>
      <c r="J57" s="51" t="s">
        <v>61</v>
      </c>
      <c r="K57" s="69" t="s">
        <v>63</v>
      </c>
      <c r="L57" s="70"/>
      <c r="M57" s="71"/>
      <c r="N57" s="71"/>
      <c r="O57" s="70"/>
    </row>
    <row r="58" ht="18" customHeight="1" spans="1:15">
      <c r="A58" s="32" t="s">
        <v>26</v>
      </c>
      <c r="B58" s="88">
        <f>SUM(B17:B57)</f>
        <v>1616384.06</v>
      </c>
      <c r="C58" s="32"/>
      <c r="D58" s="41"/>
      <c r="E58" s="41"/>
      <c r="F58" s="89">
        <f>SUM(F17:F57)</f>
        <v>63403.79</v>
      </c>
      <c r="G58" s="90">
        <f>SUM(G17:G57)</f>
        <v>1679787.85</v>
      </c>
      <c r="H58" s="44"/>
      <c r="I58" s="102">
        <f>SUM(I17:I57)</f>
        <v>1752127.09700917</v>
      </c>
      <c r="J58" s="79"/>
      <c r="K58" s="41"/>
      <c r="L58" s="33"/>
      <c r="M58" s="51"/>
      <c r="N58" s="51"/>
      <c r="O58" s="33"/>
    </row>
    <row r="59" ht="18" customHeight="1" spans="1:14">
      <c r="A59" s="45" t="s">
        <v>87</v>
      </c>
      <c r="B59" s="45">
        <f>B14-B58</f>
        <v>-27126.35342771</v>
      </c>
      <c r="C59" s="45"/>
      <c r="D59" s="47"/>
      <c r="E59" s="47"/>
      <c r="F59" s="46"/>
      <c r="G59" s="45">
        <f>G14-G58</f>
        <v>72339.25</v>
      </c>
      <c r="H59" s="23" t="s">
        <v>88</v>
      </c>
      <c r="I59" s="102">
        <f>I14-I58</f>
        <v>0.00299082533456385</v>
      </c>
      <c r="J59" s="8"/>
      <c r="K59" s="80" t="s">
        <v>89</v>
      </c>
      <c r="M59" s="81"/>
      <c r="N59" s="81"/>
    </row>
    <row r="60" ht="18" customHeight="1" spans="1:11">
      <c r="A60" s="4" t="s">
        <v>90</v>
      </c>
      <c r="C60" s="4"/>
      <c r="I60" s="83">
        <f>I49+I51+I53+I56</f>
        <v>76142.8070091743</v>
      </c>
      <c r="K60" s="8" t="s">
        <v>91</v>
      </c>
    </row>
    <row r="61" ht="18" customHeight="1" spans="1:11">
      <c r="A61" s="23" t="s">
        <v>92</v>
      </c>
      <c r="B61" s="22" t="s">
        <v>93</v>
      </c>
      <c r="C61" s="33"/>
      <c r="D61" s="23" t="s">
        <v>92</v>
      </c>
      <c r="E61" s="21" t="s">
        <v>16</v>
      </c>
      <c r="F61" s="48" t="s">
        <v>93</v>
      </c>
      <c r="G61" s="49" t="s">
        <v>94</v>
      </c>
      <c r="H61" s="50" t="s">
        <v>95</v>
      </c>
      <c r="I61" s="114" t="s">
        <v>96</v>
      </c>
      <c r="J61" s="115" t="s">
        <v>97</v>
      </c>
      <c r="K61" s="116" t="s">
        <v>98</v>
      </c>
    </row>
    <row r="62" ht="18" customHeight="1" spans="1:11">
      <c r="A62" s="33" t="s">
        <v>99</v>
      </c>
      <c r="B62" s="19">
        <f>(B14-B58)*0.25</f>
        <v>-6781.5883569275</v>
      </c>
      <c r="C62" s="33"/>
      <c r="D62" s="12" t="s">
        <v>100</v>
      </c>
      <c r="E62" s="51" t="s">
        <v>101</v>
      </c>
      <c r="F62" s="91">
        <f>F14-F58</f>
        <v>67680.44929626</v>
      </c>
      <c r="G62" s="92">
        <f>SUM(F7:F9)-SUM(F17:F28)</f>
        <v>17677.2910810811</v>
      </c>
      <c r="H62" s="93">
        <f>F10</f>
        <v>14545.4545454545</v>
      </c>
      <c r="I62" s="117">
        <v>19266.0550458716</v>
      </c>
      <c r="J62" s="91">
        <f>F12</f>
        <v>16191.6486238532</v>
      </c>
      <c r="K62" s="89">
        <f>(D3-D2)*2%</f>
        <v>2839.791</v>
      </c>
    </row>
    <row r="63" ht="18" customHeight="1" spans="1:11">
      <c r="A63" s="33" t="s">
        <v>102</v>
      </c>
      <c r="B63" s="54" t="s">
        <v>103</v>
      </c>
      <c r="C63" s="33"/>
      <c r="D63" s="55" t="s">
        <v>104</v>
      </c>
      <c r="E63" s="56">
        <v>0.07</v>
      </c>
      <c r="F63" s="94">
        <f>SUM(G62:I62)*E63</f>
        <v>3604.2160470685</v>
      </c>
      <c r="G63" s="95">
        <f>G62*E63</f>
        <v>1237.41037567568</v>
      </c>
      <c r="H63" s="96">
        <f>H62*E63</f>
        <v>1018.18181818182</v>
      </c>
      <c r="I63" s="118">
        <v>963.302752293578</v>
      </c>
      <c r="J63" s="94"/>
      <c r="K63" s="2"/>
    </row>
    <row r="64" ht="18" customHeight="1" spans="1:11">
      <c r="A64" s="33"/>
      <c r="B64" s="54"/>
      <c r="C64" s="33"/>
      <c r="D64" s="59"/>
      <c r="E64" s="56">
        <v>0.07</v>
      </c>
      <c r="F64" s="94">
        <f>J62*E64</f>
        <v>1133.41540366972</v>
      </c>
      <c r="G64" s="95"/>
      <c r="H64" s="96"/>
      <c r="I64" s="118"/>
      <c r="J64" s="94">
        <f>J62*E64</f>
        <v>1133.41540366972</v>
      </c>
      <c r="K64" s="2">
        <f>K62*E64</f>
        <v>198.78537</v>
      </c>
    </row>
    <row r="65" ht="18" customHeight="1" spans="1:11">
      <c r="A65" s="33" t="s">
        <v>74</v>
      </c>
      <c r="B65" s="54"/>
      <c r="C65" s="33"/>
      <c r="D65" s="60" t="s">
        <v>105</v>
      </c>
      <c r="E65" s="56">
        <v>0.03</v>
      </c>
      <c r="F65" s="94">
        <f>F62*E65</f>
        <v>2030.4134788878</v>
      </c>
      <c r="G65" s="95">
        <f>G62*E65</f>
        <v>530.318732432432</v>
      </c>
      <c r="H65" s="96">
        <f>H62*E65</f>
        <v>436.363636363635</v>
      </c>
      <c r="I65" s="118">
        <v>577.981651376147</v>
      </c>
      <c r="J65" s="94">
        <f>J62*E65</f>
        <v>485.749458715596</v>
      </c>
      <c r="K65" s="2">
        <f>K62*E65</f>
        <v>85.19373</v>
      </c>
    </row>
    <row r="66" ht="18" customHeight="1" spans="1:11">
      <c r="A66" s="33"/>
      <c r="B66" s="25"/>
      <c r="C66" s="33"/>
      <c r="D66" s="60" t="s">
        <v>106</v>
      </c>
      <c r="E66" s="56">
        <v>0.02</v>
      </c>
      <c r="F66" s="94">
        <f>F62*E66</f>
        <v>1353.6089859252</v>
      </c>
      <c r="G66" s="95">
        <f>G62*E66</f>
        <v>353.545821621622</v>
      </c>
      <c r="H66" s="96">
        <f>H62*E66</f>
        <v>290.90909090909</v>
      </c>
      <c r="I66" s="118">
        <v>385.321100917431</v>
      </c>
      <c r="J66" s="94">
        <f>J62*E66</f>
        <v>323.832972477064</v>
      </c>
      <c r="K66" s="2">
        <f>K62*E66</f>
        <v>56.79582</v>
      </c>
    </row>
    <row r="67" ht="18" customHeight="1" spans="1:11">
      <c r="A67" s="30" t="s">
        <v>107</v>
      </c>
      <c r="B67" s="40">
        <f t="shared" ref="B67:H67" si="9">SUM(B62:B66)</f>
        <v>-6781.5883569275</v>
      </c>
      <c r="C67" s="33"/>
      <c r="D67" s="30" t="s">
        <v>107</v>
      </c>
      <c r="E67" s="30"/>
      <c r="F67" s="119">
        <f t="shared" si="9"/>
        <v>75802.1032118112</v>
      </c>
      <c r="G67" s="92">
        <f t="shared" si="9"/>
        <v>19798.5660108108</v>
      </c>
      <c r="H67" s="120">
        <f t="shared" si="9"/>
        <v>16290.909090909</v>
      </c>
      <c r="I67" s="125">
        <v>21192.6605504587</v>
      </c>
      <c r="J67" s="119">
        <f>SUM(J62:J66)</f>
        <v>18134.6464587156</v>
      </c>
      <c r="K67" s="32">
        <f>SUM(K62:K66)</f>
        <v>3180.56592</v>
      </c>
    </row>
    <row r="68" ht="18" customHeight="1" spans="1:11">
      <c r="A68" s="121"/>
      <c r="B68" s="122"/>
      <c r="C68" s="8"/>
      <c r="D68" s="30" t="s">
        <v>102</v>
      </c>
      <c r="E68" s="123">
        <v>0.0003</v>
      </c>
      <c r="F68" s="119">
        <f>G14*E68</f>
        <v>525.63813</v>
      </c>
      <c r="G68" s="92"/>
      <c r="H68" s="120">
        <f>G10*E68</f>
        <v>60</v>
      </c>
      <c r="I68" s="125">
        <f>G11*E68</f>
        <v>90</v>
      </c>
      <c r="J68" s="119">
        <f>G12*E68</f>
        <v>75.63813</v>
      </c>
      <c r="K68" s="32">
        <f>(D3-D2)*E68</f>
        <v>42.596865</v>
      </c>
    </row>
    <row r="69" ht="18" customHeight="1" spans="3:12">
      <c r="C69" s="4"/>
      <c r="D69" s="2" t="s">
        <v>74</v>
      </c>
      <c r="E69" s="123">
        <v>0.0006</v>
      </c>
      <c r="F69" s="94">
        <f>B14*E69</f>
        <v>953.554623943376</v>
      </c>
      <c r="G69" s="95">
        <f>SUM(B7:B9)*E69</f>
        <v>540.54054054054</v>
      </c>
      <c r="H69" s="96">
        <f>B10*E69</f>
        <v>109.090909090909</v>
      </c>
      <c r="I69" s="118">
        <f>B11*E69</f>
        <v>165.137614678899</v>
      </c>
      <c r="J69" s="94">
        <f>B12*E69</f>
        <v>138.785559633028</v>
      </c>
      <c r="K69" s="32">
        <f>(D3-D2)*E69</f>
        <v>85.19373</v>
      </c>
      <c r="L69" s="8" t="s">
        <v>108</v>
      </c>
    </row>
    <row r="70" ht="18" customHeight="1" spans="3:11">
      <c r="C70" s="4"/>
      <c r="D70" s="32" t="s">
        <v>26</v>
      </c>
      <c r="E70" s="32"/>
      <c r="F70" s="90">
        <f t="shared" ref="F70:J70" si="10">F67+F69</f>
        <v>76755.6578357546</v>
      </c>
      <c r="G70" s="92">
        <f t="shared" si="10"/>
        <v>20339.1065513514</v>
      </c>
      <c r="H70" s="124">
        <f t="shared" si="10"/>
        <v>16399.9999999999</v>
      </c>
      <c r="I70" s="126">
        <f t="shared" si="10"/>
        <v>21357.7981651376</v>
      </c>
      <c r="J70" s="90">
        <f t="shared" si="10"/>
        <v>18273.4320183486</v>
      </c>
      <c r="K70" s="32">
        <f>K67+K68+K69</f>
        <v>3308.356515</v>
      </c>
    </row>
    <row r="71" ht="18" customHeight="1" spans="3:12">
      <c r="C71" s="4"/>
      <c r="H71" s="6" t="s">
        <v>63</v>
      </c>
      <c r="I71" s="127">
        <f>I57+I38</f>
        <v>17878.85</v>
      </c>
      <c r="L71" s="8" t="s">
        <v>47</v>
      </c>
    </row>
    <row r="72" ht="18" customHeight="1" spans="3:10">
      <c r="C72" s="4"/>
      <c r="H72" s="6" t="s">
        <v>109</v>
      </c>
      <c r="I72" s="83">
        <f>I56+I53+3308.36</f>
        <v>40123.86</v>
      </c>
      <c r="J72" s="7">
        <v>402.3386</v>
      </c>
    </row>
    <row r="73" ht="18" customHeight="1" spans="3:9">
      <c r="C73" s="4"/>
      <c r="H73" s="6" t="s">
        <v>110</v>
      </c>
      <c r="I73" s="83">
        <f>I55+I47+I37+I40</f>
        <v>1000</v>
      </c>
    </row>
    <row r="74" ht="18" customHeight="1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</sheetData>
  <protectedRanges>
    <protectedRange sqref="I34" name="区域1"/>
  </protectedRanges>
  <autoFilter ref="A16:O73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D63:D64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opLeftCell="A19" workbookViewId="0">
      <selection activeCell="P30" sqref="P30"/>
    </sheetView>
  </sheetViews>
  <sheetFormatPr defaultColWidth="9" defaultRowHeight="11.25"/>
  <cols>
    <col min="1" max="1" width="10.775" style="4" customWidth="1"/>
    <col min="2" max="2" width="13.1083333333333" style="5" customWidth="1"/>
    <col min="3" max="3" width="6" style="6" customWidth="1"/>
    <col min="4" max="4" width="13.3333333333333" style="6" customWidth="1"/>
    <col min="5" max="5" width="6" style="6" customWidth="1"/>
    <col min="6" max="6" width="13.1083333333333" style="5" customWidth="1"/>
    <col min="7" max="7" width="14.1083333333333" style="5" customWidth="1"/>
    <col min="8" max="8" width="11.775" style="6" customWidth="1"/>
    <col min="9" max="9" width="13.8833333333333" style="5" customWidth="1"/>
    <col min="10" max="10" width="10.8833333333333" style="7" customWidth="1"/>
    <col min="11" max="11" width="31.4416666666667" style="8" customWidth="1"/>
    <col min="12" max="12" width="12.775" style="8" customWidth="1"/>
    <col min="13" max="13" width="6" style="8" customWidth="1"/>
    <col min="14" max="14" width="5.66666666666667" style="8" customWidth="1"/>
    <col min="15" max="16384" width="9" style="8"/>
  </cols>
  <sheetData>
    <row r="1" ht="21.9" customHeight="1" spans="1:12">
      <c r="A1" s="9" t="s">
        <v>0</v>
      </c>
      <c r="B1" s="9"/>
      <c r="C1" s="9"/>
      <c r="D1" s="9"/>
      <c r="E1" s="9"/>
      <c r="F1" s="10"/>
      <c r="G1" s="11"/>
      <c r="H1" s="9"/>
      <c r="I1" s="11"/>
      <c r="J1" s="9"/>
      <c r="K1" s="20"/>
      <c r="L1" s="20"/>
    </row>
    <row r="2" ht="18" customHeight="1" spans="1:12">
      <c r="A2" s="12" t="s">
        <v>1</v>
      </c>
      <c r="B2" s="13">
        <v>42877</v>
      </c>
      <c r="C2" s="2" t="s">
        <v>2</v>
      </c>
      <c r="D2" s="14">
        <v>1645895.22</v>
      </c>
      <c r="E2" s="15" t="s">
        <v>3</v>
      </c>
      <c r="F2" s="16" t="s">
        <v>4</v>
      </c>
      <c r="G2" s="17" t="s">
        <v>5</v>
      </c>
      <c r="H2" s="18" t="s">
        <v>6</v>
      </c>
      <c r="I2" s="66"/>
      <c r="J2" s="67"/>
      <c r="K2" s="20"/>
      <c r="L2" s="20"/>
    </row>
    <row r="3" ht="18" customHeight="1" spans="1:12">
      <c r="A3" s="12" t="s">
        <v>7</v>
      </c>
      <c r="B3" s="19"/>
      <c r="C3" s="2" t="s">
        <v>8</v>
      </c>
      <c r="D3" s="2">
        <v>1787884.77</v>
      </c>
      <c r="H3" s="20"/>
      <c r="I3" s="10"/>
      <c r="J3" s="20"/>
      <c r="K3" s="20"/>
      <c r="L3" s="20"/>
    </row>
    <row r="4" ht="18" customHeight="1" spans="1:12">
      <c r="A4" s="4" t="s">
        <v>9</v>
      </c>
      <c r="H4" s="20"/>
      <c r="I4" s="10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42977</v>
      </c>
      <c r="B7" s="25">
        <f t="shared" ref="B7:B12" si="0">G7/(1+C7+E7)</f>
        <v>405405.405405405</v>
      </c>
      <c r="C7" s="26">
        <v>0.02</v>
      </c>
      <c r="D7" s="27">
        <f>G7/(1+E7+C7)*C7</f>
        <v>8108.10810810811</v>
      </c>
      <c r="E7" s="26">
        <v>0.09</v>
      </c>
      <c r="F7" s="25">
        <f t="shared" ref="F7:F12" si="1">G7/(1+C7+E7)*E7</f>
        <v>36486.4864864865</v>
      </c>
      <c r="G7" s="28">
        <v>450000</v>
      </c>
      <c r="H7" s="24" t="s">
        <v>21</v>
      </c>
      <c r="I7" s="25">
        <v>450000</v>
      </c>
      <c r="J7" s="51" t="s">
        <v>22</v>
      </c>
    </row>
    <row r="8" ht="18" customHeight="1" spans="1:10">
      <c r="A8" s="24">
        <v>43041</v>
      </c>
      <c r="B8" s="25">
        <f t="shared" si="0"/>
        <v>315315.315315315</v>
      </c>
      <c r="C8" s="26">
        <v>0.02</v>
      </c>
      <c r="D8" s="27">
        <f t="shared" ref="D8:D12" si="2">G8/(1+E8+C8)*C8</f>
        <v>6306.30630630631</v>
      </c>
      <c r="E8" s="26">
        <v>0.09</v>
      </c>
      <c r="F8" s="25">
        <f t="shared" si="1"/>
        <v>28378.3783783784</v>
      </c>
      <c r="G8" s="28">
        <v>350000</v>
      </c>
      <c r="H8" s="24" t="s">
        <v>23</v>
      </c>
      <c r="I8" s="25">
        <v>350000</v>
      </c>
      <c r="J8" s="51" t="s">
        <v>22</v>
      </c>
    </row>
    <row r="9" ht="18" customHeight="1" spans="1:10">
      <c r="A9" s="24">
        <v>43130</v>
      </c>
      <c r="B9" s="25">
        <f t="shared" si="0"/>
        <v>180180.18018018</v>
      </c>
      <c r="C9" s="26">
        <v>0.02</v>
      </c>
      <c r="D9" s="27">
        <f t="shared" si="2"/>
        <v>3603.6036036036</v>
      </c>
      <c r="E9" s="26">
        <v>0.09</v>
      </c>
      <c r="F9" s="25">
        <f t="shared" si="1"/>
        <v>16216.2162162162</v>
      </c>
      <c r="G9" s="28">
        <v>200000</v>
      </c>
      <c r="H9" s="24" t="s">
        <v>24</v>
      </c>
      <c r="I9" s="25">
        <v>200000</v>
      </c>
      <c r="J9" s="51" t="s">
        <v>22</v>
      </c>
    </row>
    <row r="10" ht="18" customHeight="1" spans="1:10">
      <c r="A10" s="24">
        <v>43479</v>
      </c>
      <c r="B10" s="25">
        <f t="shared" si="0"/>
        <v>181818.181818182</v>
      </c>
      <c r="C10" s="26">
        <v>0.02</v>
      </c>
      <c r="D10" s="27">
        <f t="shared" si="2"/>
        <v>3636.36363636364</v>
      </c>
      <c r="E10" s="26">
        <v>0.08</v>
      </c>
      <c r="F10" s="25">
        <f t="shared" si="1"/>
        <v>14545.4545454545</v>
      </c>
      <c r="G10" s="28">
        <v>200000</v>
      </c>
      <c r="H10" s="24">
        <v>43507</v>
      </c>
      <c r="I10" s="25">
        <v>200000</v>
      </c>
      <c r="J10" s="51" t="s">
        <v>22</v>
      </c>
    </row>
    <row r="11" ht="18" customHeight="1" spans="1:10">
      <c r="A11" s="24">
        <v>43816</v>
      </c>
      <c r="B11" s="25">
        <f t="shared" si="0"/>
        <v>275229.357798165</v>
      </c>
      <c r="C11" s="29">
        <v>0.02</v>
      </c>
      <c r="D11" s="27">
        <f t="shared" si="2"/>
        <v>5504.5871559633</v>
      </c>
      <c r="E11" s="29">
        <v>0.07</v>
      </c>
      <c r="F11" s="25">
        <f t="shared" si="1"/>
        <v>19266.0550458716</v>
      </c>
      <c r="G11" s="28">
        <v>300000</v>
      </c>
      <c r="H11" s="24">
        <v>43851</v>
      </c>
      <c r="I11" s="25">
        <v>300000</v>
      </c>
      <c r="J11" s="51" t="s">
        <v>22</v>
      </c>
    </row>
    <row r="12" ht="18" customHeight="1" spans="1:10">
      <c r="A12" s="24">
        <v>44231</v>
      </c>
      <c r="B12" s="25">
        <f t="shared" si="0"/>
        <v>231309.266055046</v>
      </c>
      <c r="C12" s="29">
        <v>0.02</v>
      </c>
      <c r="D12" s="27">
        <f t="shared" si="2"/>
        <v>4626.18532110092</v>
      </c>
      <c r="E12" s="29">
        <v>0.07</v>
      </c>
      <c r="F12" s="25">
        <f t="shared" si="1"/>
        <v>16191.6486238532</v>
      </c>
      <c r="G12" s="28">
        <v>252127.1</v>
      </c>
      <c r="H12" s="24"/>
      <c r="I12" s="25"/>
      <c r="J12" s="51"/>
    </row>
    <row r="13" ht="18" customHeight="1" spans="1:11">
      <c r="A13" s="30" t="s">
        <v>26</v>
      </c>
      <c r="B13" s="31">
        <f t="shared" ref="B13:G13" si="3">SUM(B7:B12)</f>
        <v>1589257.70657229</v>
      </c>
      <c r="C13" s="32"/>
      <c r="D13" s="31">
        <f t="shared" si="3"/>
        <v>31785.1541314459</v>
      </c>
      <c r="E13" s="32"/>
      <c r="F13" s="31">
        <f t="shared" si="3"/>
        <v>131084.23929626</v>
      </c>
      <c r="G13" s="31">
        <f t="shared" si="3"/>
        <v>1752127.1</v>
      </c>
      <c r="H13" s="33"/>
      <c r="I13" s="31">
        <f>SUM(I7:I11)</f>
        <v>1500000</v>
      </c>
      <c r="J13" s="33"/>
      <c r="K13" s="8">
        <f>D3-G13</f>
        <v>35757.6699999999</v>
      </c>
    </row>
    <row r="14" ht="18" customHeight="1" spans="1:12">
      <c r="A14" s="4" t="s">
        <v>27</v>
      </c>
      <c r="J14" s="6"/>
      <c r="K14" s="6"/>
      <c r="L14" s="7"/>
    </row>
    <row r="15" ht="18" customHeight="1" spans="1:15">
      <c r="A15" s="34" t="s">
        <v>28</v>
      </c>
      <c r="B15" s="22" t="s">
        <v>29</v>
      </c>
      <c r="C15" s="21" t="s">
        <v>30</v>
      </c>
      <c r="D15" s="21" t="s">
        <v>31</v>
      </c>
      <c r="E15" s="21" t="s">
        <v>16</v>
      </c>
      <c r="F15" s="22" t="s">
        <v>32</v>
      </c>
      <c r="G15" s="22" t="s">
        <v>14</v>
      </c>
      <c r="H15" s="21" t="s">
        <v>33</v>
      </c>
      <c r="I15" s="22" t="s">
        <v>34</v>
      </c>
      <c r="J15" s="21" t="s">
        <v>20</v>
      </c>
      <c r="K15" s="68" t="s">
        <v>35</v>
      </c>
      <c r="L15" s="23" t="s">
        <v>36</v>
      </c>
      <c r="M15" s="23" t="s">
        <v>37</v>
      </c>
      <c r="N15" s="23" t="s">
        <v>38</v>
      </c>
      <c r="O15" s="23" t="s">
        <v>39</v>
      </c>
    </row>
    <row r="16" s="3" customFormat="1" ht="18" customHeight="1" spans="1:15">
      <c r="A16" s="35">
        <v>42887</v>
      </c>
      <c r="B16" s="19">
        <f t="shared" ref="B16:B27" si="4">ROUND(G16/(1+E16),2)</f>
        <v>13535.04</v>
      </c>
      <c r="C16" s="36"/>
      <c r="D16" s="37"/>
      <c r="E16" s="38">
        <v>0.17</v>
      </c>
      <c r="F16" s="19">
        <f t="shared" ref="F16:F27" si="5">ROUND(G16/(1+E16)*E16,2)</f>
        <v>2300.96</v>
      </c>
      <c r="G16" s="28">
        <v>15836</v>
      </c>
      <c r="H16" s="24"/>
      <c r="I16" s="25"/>
      <c r="J16" s="51"/>
      <c r="K16" s="69" t="s">
        <v>41</v>
      </c>
      <c r="L16" s="70" t="s">
        <v>42</v>
      </c>
      <c r="M16" s="71"/>
      <c r="N16" s="71"/>
      <c r="O16" s="70"/>
    </row>
    <row r="17" s="3" customFormat="1" ht="18" customHeight="1" spans="1:15">
      <c r="A17" s="35">
        <v>42887</v>
      </c>
      <c r="B17" s="19">
        <f t="shared" si="4"/>
        <v>485436.89</v>
      </c>
      <c r="C17" s="36"/>
      <c r="D17" s="37"/>
      <c r="E17" s="38">
        <v>0.03</v>
      </c>
      <c r="F17" s="19">
        <f t="shared" si="5"/>
        <v>14563.11</v>
      </c>
      <c r="G17" s="28">
        <v>500000</v>
      </c>
      <c r="H17" s="24"/>
      <c r="I17" s="25"/>
      <c r="J17" s="51"/>
      <c r="K17" s="69" t="s">
        <v>44</v>
      </c>
      <c r="L17" s="70" t="s">
        <v>45</v>
      </c>
      <c r="M17" s="71"/>
      <c r="N17" s="71"/>
      <c r="O17" s="70"/>
    </row>
    <row r="18" s="3" customFormat="1" ht="18" customHeight="1" spans="1:15">
      <c r="A18" s="35">
        <v>42948</v>
      </c>
      <c r="B18" s="19">
        <f t="shared" si="4"/>
        <v>57526</v>
      </c>
      <c r="C18" s="36"/>
      <c r="D18" s="37"/>
      <c r="E18" s="38"/>
      <c r="F18" s="19">
        <f t="shared" si="5"/>
        <v>0</v>
      </c>
      <c r="G18" s="28">
        <v>57526</v>
      </c>
      <c r="H18" s="24"/>
      <c r="I18" s="25"/>
      <c r="J18" s="51"/>
      <c r="K18" s="69" t="s">
        <v>46</v>
      </c>
      <c r="L18" s="70"/>
      <c r="M18" s="71"/>
      <c r="N18" s="71"/>
      <c r="O18" s="70"/>
    </row>
    <row r="19" s="3" customFormat="1" ht="18" customHeight="1" spans="1:15">
      <c r="A19" s="35">
        <v>42948</v>
      </c>
      <c r="B19" s="19">
        <f t="shared" si="4"/>
        <v>7008.55</v>
      </c>
      <c r="C19" s="36"/>
      <c r="D19" s="37"/>
      <c r="E19" s="38">
        <v>0.17</v>
      </c>
      <c r="F19" s="19">
        <f t="shared" si="5"/>
        <v>1191.45</v>
      </c>
      <c r="G19" s="28">
        <v>8200</v>
      </c>
      <c r="H19" s="39"/>
      <c r="I19" s="27"/>
      <c r="J19" s="72"/>
      <c r="K19" s="73" t="s">
        <v>111</v>
      </c>
      <c r="L19" s="74" t="s">
        <v>42</v>
      </c>
      <c r="M19" s="75"/>
      <c r="N19" s="75"/>
      <c r="O19" s="70"/>
    </row>
    <row r="20" s="3" customFormat="1" ht="18" customHeight="1" spans="1:15">
      <c r="A20" s="35">
        <v>42948</v>
      </c>
      <c r="B20" s="19">
        <f t="shared" si="4"/>
        <v>87526</v>
      </c>
      <c r="C20" s="36"/>
      <c r="D20" s="37"/>
      <c r="E20" s="38"/>
      <c r="F20" s="19">
        <f t="shared" si="5"/>
        <v>0</v>
      </c>
      <c r="G20" s="28">
        <v>87526</v>
      </c>
      <c r="H20" s="39"/>
      <c r="I20" s="27"/>
      <c r="J20" s="72"/>
      <c r="K20" s="73" t="s">
        <v>46</v>
      </c>
      <c r="L20" s="74"/>
      <c r="M20" s="75"/>
      <c r="N20" s="75"/>
      <c r="O20" s="70" t="s">
        <v>47</v>
      </c>
    </row>
    <row r="21" s="3" customFormat="1" ht="18" customHeight="1" spans="1:15">
      <c r="A21" s="35"/>
      <c r="B21" s="19">
        <f t="shared" si="4"/>
        <v>0</v>
      </c>
      <c r="C21" s="36"/>
      <c r="D21" s="37"/>
      <c r="E21" s="38"/>
      <c r="F21" s="19">
        <f t="shared" si="5"/>
        <v>0</v>
      </c>
      <c r="G21" s="28"/>
      <c r="H21" s="39" t="s">
        <v>21</v>
      </c>
      <c r="I21" s="76">
        <v>13973.26</v>
      </c>
      <c r="J21" s="72"/>
      <c r="K21" s="73" t="s">
        <v>48</v>
      </c>
      <c r="L21" s="74"/>
      <c r="M21" s="75"/>
      <c r="N21" s="75"/>
      <c r="O21" s="70"/>
    </row>
    <row r="22" s="3" customFormat="1" ht="18" customHeight="1" spans="1:15">
      <c r="A22" s="35"/>
      <c r="B22" s="19">
        <f t="shared" si="4"/>
        <v>0</v>
      </c>
      <c r="C22" s="36"/>
      <c r="D22" s="37"/>
      <c r="E22" s="38"/>
      <c r="F22" s="19">
        <f t="shared" si="5"/>
        <v>0</v>
      </c>
      <c r="G22" s="28"/>
      <c r="H22" s="39" t="s">
        <v>21</v>
      </c>
      <c r="I22" s="76">
        <v>300000</v>
      </c>
      <c r="J22" s="72"/>
      <c r="K22" s="73" t="s">
        <v>44</v>
      </c>
      <c r="L22" s="74"/>
      <c r="M22" s="75"/>
      <c r="N22" s="75"/>
      <c r="O22" s="70"/>
    </row>
    <row r="23" s="3" customFormat="1" ht="18" customHeight="1" spans="1:15">
      <c r="A23" s="35" t="s">
        <v>21</v>
      </c>
      <c r="B23" s="19">
        <f t="shared" si="4"/>
        <v>57410</v>
      </c>
      <c r="C23" s="36"/>
      <c r="D23" s="37"/>
      <c r="E23" s="38"/>
      <c r="F23" s="19">
        <f t="shared" si="5"/>
        <v>0</v>
      </c>
      <c r="G23" s="28">
        <v>57410</v>
      </c>
      <c r="H23" s="39"/>
      <c r="I23" s="76"/>
      <c r="J23" s="72"/>
      <c r="K23" s="73" t="s">
        <v>46</v>
      </c>
      <c r="L23" s="74"/>
      <c r="M23" s="75"/>
      <c r="N23" s="75"/>
      <c r="O23" s="70"/>
    </row>
    <row r="24" s="3" customFormat="1" ht="18" customHeight="1" spans="1:15">
      <c r="A24" s="35" t="s">
        <v>23</v>
      </c>
      <c r="B24" s="19">
        <f t="shared" si="4"/>
        <v>57411</v>
      </c>
      <c r="C24" s="36"/>
      <c r="D24" s="37"/>
      <c r="E24" s="38"/>
      <c r="F24" s="19">
        <f t="shared" si="5"/>
        <v>0</v>
      </c>
      <c r="G24" s="28">
        <v>57411</v>
      </c>
      <c r="H24" s="39"/>
      <c r="I24" s="76"/>
      <c r="J24" s="72"/>
      <c r="K24" s="73" t="s">
        <v>46</v>
      </c>
      <c r="L24" s="74"/>
      <c r="M24" s="75"/>
      <c r="N24" s="75"/>
      <c r="O24" s="70"/>
    </row>
    <row r="25" s="3" customFormat="1" ht="18" customHeight="1" spans="1:15">
      <c r="A25" s="35" t="s">
        <v>23</v>
      </c>
      <c r="B25" s="19">
        <f t="shared" si="4"/>
        <v>86000</v>
      </c>
      <c r="C25" s="36"/>
      <c r="D25" s="37"/>
      <c r="E25" s="38"/>
      <c r="F25" s="19">
        <f t="shared" si="5"/>
        <v>0</v>
      </c>
      <c r="G25" s="28">
        <v>86000</v>
      </c>
      <c r="H25" s="39"/>
      <c r="I25" s="76"/>
      <c r="J25" s="72"/>
      <c r="K25" s="73" t="s">
        <v>48</v>
      </c>
      <c r="L25" s="74" t="s">
        <v>49</v>
      </c>
      <c r="M25" s="75"/>
      <c r="N25" s="75"/>
      <c r="O25" s="70"/>
    </row>
    <row r="26" s="3" customFormat="1" ht="18" customHeight="1" spans="1:15">
      <c r="A26" s="35">
        <v>43040</v>
      </c>
      <c r="B26" s="19">
        <f t="shared" si="4"/>
        <v>218446.6</v>
      </c>
      <c r="C26" s="36"/>
      <c r="D26" s="37"/>
      <c r="E26" s="38">
        <v>0.03</v>
      </c>
      <c r="F26" s="19">
        <f t="shared" si="5"/>
        <v>6553.4</v>
      </c>
      <c r="G26" s="28">
        <v>225000</v>
      </c>
      <c r="H26" s="39" t="s">
        <v>50</v>
      </c>
      <c r="I26" s="76">
        <v>225000</v>
      </c>
      <c r="J26" s="72"/>
      <c r="K26" s="73" t="s">
        <v>51</v>
      </c>
      <c r="L26" s="74" t="s">
        <v>52</v>
      </c>
      <c r="M26" s="75"/>
      <c r="N26" s="75"/>
      <c r="O26" s="70"/>
    </row>
    <row r="27" s="3" customFormat="1" ht="18" customHeight="1" spans="1:15">
      <c r="A27" s="35">
        <v>43040</v>
      </c>
      <c r="B27" s="19">
        <f t="shared" si="4"/>
        <v>228205.13</v>
      </c>
      <c r="C27" s="36"/>
      <c r="D27" s="37"/>
      <c r="E27" s="38">
        <v>0.17</v>
      </c>
      <c r="F27" s="19">
        <f t="shared" si="5"/>
        <v>38794.87</v>
      </c>
      <c r="G27" s="28">
        <v>267000</v>
      </c>
      <c r="H27" s="39" t="s">
        <v>50</v>
      </c>
      <c r="I27" s="76">
        <v>267000</v>
      </c>
      <c r="J27" s="72"/>
      <c r="K27" s="73" t="s">
        <v>53</v>
      </c>
      <c r="L27" s="74" t="s">
        <v>54</v>
      </c>
      <c r="M27" s="75"/>
      <c r="N27" s="75"/>
      <c r="O27" s="70"/>
    </row>
    <row r="28" s="3" customFormat="1" ht="18" customHeight="1" spans="1:15">
      <c r="A28" s="35">
        <v>43941</v>
      </c>
      <c r="B28" s="19">
        <f t="shared" ref="B28:B44" si="6">ROUND(G28/(1+E28),2)</f>
        <v>300000</v>
      </c>
      <c r="C28" s="36"/>
      <c r="D28" s="37" t="s">
        <v>55</v>
      </c>
      <c r="E28" s="38"/>
      <c r="F28" s="19">
        <f t="shared" ref="F28:F45" si="7">ROUND(G28/(1+E28)*E28,2)</f>
        <v>0</v>
      </c>
      <c r="G28" s="28">
        <v>300000</v>
      </c>
      <c r="H28" s="39">
        <v>43943</v>
      </c>
      <c r="I28" s="76">
        <v>300000</v>
      </c>
      <c r="J28" s="72" t="s">
        <v>22</v>
      </c>
      <c r="K28" s="73" t="s">
        <v>56</v>
      </c>
      <c r="L28" s="74"/>
      <c r="M28" s="75"/>
      <c r="N28" s="75"/>
      <c r="O28" s="70"/>
    </row>
    <row r="29" s="3" customFormat="1" ht="18" customHeight="1" spans="1:15">
      <c r="A29" s="35"/>
      <c r="B29" s="19">
        <f t="shared" si="6"/>
        <v>0</v>
      </c>
      <c r="C29" s="36"/>
      <c r="D29" s="37"/>
      <c r="E29" s="38"/>
      <c r="F29" s="19">
        <f t="shared" si="7"/>
        <v>0</v>
      </c>
      <c r="G29" s="28"/>
      <c r="H29" s="39" t="s">
        <v>50</v>
      </c>
      <c r="I29" s="76">
        <v>-3638.72</v>
      </c>
      <c r="J29" s="72"/>
      <c r="K29" s="73" t="s">
        <v>48</v>
      </c>
      <c r="L29" s="74"/>
      <c r="M29" s="75"/>
      <c r="N29" s="75"/>
      <c r="O29" s="70"/>
    </row>
    <row r="30" s="3" customFormat="1" ht="18" customHeight="1" spans="1:15">
      <c r="A30" s="35"/>
      <c r="B30" s="19">
        <f t="shared" si="6"/>
        <v>0</v>
      </c>
      <c r="C30" s="36"/>
      <c r="D30" s="37"/>
      <c r="E30" s="38"/>
      <c r="F30" s="19">
        <f t="shared" si="7"/>
        <v>0</v>
      </c>
      <c r="G30" s="28"/>
      <c r="H30" s="39" t="s">
        <v>57</v>
      </c>
      <c r="I30" s="76">
        <v>113891</v>
      </c>
      <c r="J30" s="72"/>
      <c r="K30" s="73" t="s">
        <v>48</v>
      </c>
      <c r="L30" s="74"/>
      <c r="M30" s="75"/>
      <c r="N30" s="75"/>
      <c r="O30" s="70"/>
    </row>
    <row r="31" s="3" customFormat="1" ht="18" customHeight="1" spans="1:15">
      <c r="A31" s="35"/>
      <c r="B31" s="19">
        <f t="shared" si="6"/>
        <v>0</v>
      </c>
      <c r="C31" s="36"/>
      <c r="D31" s="37"/>
      <c r="E31" s="38"/>
      <c r="F31" s="19">
        <f t="shared" si="7"/>
        <v>0</v>
      </c>
      <c r="G31" s="28"/>
      <c r="H31" s="39" t="s">
        <v>57</v>
      </c>
      <c r="I31" s="76">
        <v>86000</v>
      </c>
      <c r="J31" s="72"/>
      <c r="K31" s="73" t="s">
        <v>58</v>
      </c>
      <c r="L31" s="74"/>
      <c r="M31" s="75"/>
      <c r="N31" s="75"/>
      <c r="O31" s="70"/>
    </row>
    <row r="32" s="3" customFormat="1" ht="18" customHeight="1" spans="1:15">
      <c r="A32" s="35"/>
      <c r="B32" s="19">
        <f t="shared" si="6"/>
        <v>0</v>
      </c>
      <c r="C32" s="36"/>
      <c r="D32" s="37"/>
      <c r="E32" s="38"/>
      <c r="F32" s="19">
        <f t="shared" si="7"/>
        <v>0</v>
      </c>
      <c r="G32" s="28"/>
      <c r="H32" s="39"/>
      <c r="I32" s="76">
        <v>-40000</v>
      </c>
      <c r="J32" s="72"/>
      <c r="K32" s="73" t="s">
        <v>112</v>
      </c>
      <c r="L32" s="74"/>
      <c r="M32" s="75"/>
      <c r="N32" s="75"/>
      <c r="O32" s="70"/>
    </row>
    <row r="33" s="3" customFormat="1" ht="18" customHeight="1" spans="1:15">
      <c r="A33" s="35"/>
      <c r="B33" s="19">
        <f t="shared" si="6"/>
        <v>0</v>
      </c>
      <c r="C33" s="36"/>
      <c r="D33" s="37"/>
      <c r="E33" s="38"/>
      <c r="F33" s="19">
        <f t="shared" si="7"/>
        <v>0</v>
      </c>
      <c r="G33" s="28"/>
      <c r="H33" s="39">
        <v>43499</v>
      </c>
      <c r="I33" s="77">
        <v>181890</v>
      </c>
      <c r="J33" s="72" t="s">
        <v>22</v>
      </c>
      <c r="K33" s="73" t="s">
        <v>44</v>
      </c>
      <c r="L33" s="74" t="s">
        <v>45</v>
      </c>
      <c r="M33" s="75"/>
      <c r="N33" s="75"/>
      <c r="O33" s="70"/>
    </row>
    <row r="34" s="3" customFormat="1" ht="18" customHeight="1" spans="1:15">
      <c r="A34" s="35"/>
      <c r="B34" s="19">
        <f t="shared" si="6"/>
        <v>0</v>
      </c>
      <c r="C34" s="36"/>
      <c r="D34" s="37"/>
      <c r="E34" s="38"/>
      <c r="F34" s="19">
        <f t="shared" si="7"/>
        <v>0</v>
      </c>
      <c r="G34" s="28"/>
      <c r="H34" s="39" t="s">
        <v>73</v>
      </c>
      <c r="I34" s="76">
        <v>-100</v>
      </c>
      <c r="J34" s="72" t="s">
        <v>67</v>
      </c>
      <c r="K34" s="73" t="s">
        <v>68</v>
      </c>
      <c r="L34" s="74" t="s">
        <v>69</v>
      </c>
      <c r="M34" s="75"/>
      <c r="N34" s="75"/>
      <c r="O34" s="70"/>
    </row>
    <row r="35" s="3" customFormat="1" ht="18" customHeight="1" spans="1:15">
      <c r="A35" s="35"/>
      <c r="B35" s="19">
        <f t="shared" si="6"/>
        <v>0</v>
      </c>
      <c r="C35" s="36"/>
      <c r="D35" s="37"/>
      <c r="E35" s="38"/>
      <c r="F35" s="19">
        <f t="shared" si="7"/>
        <v>0</v>
      </c>
      <c r="G35" s="28"/>
      <c r="H35" s="39" t="s">
        <v>73</v>
      </c>
      <c r="I35" s="76">
        <v>-3000</v>
      </c>
      <c r="J35" s="72" t="s">
        <v>67</v>
      </c>
      <c r="K35" s="73" t="s">
        <v>70</v>
      </c>
      <c r="L35" s="74" t="s">
        <v>69</v>
      </c>
      <c r="M35" s="75"/>
      <c r="N35" s="75"/>
      <c r="O35" s="70" t="s">
        <v>71</v>
      </c>
    </row>
    <row r="36" s="3" customFormat="1" ht="18" customHeight="1" spans="1:15">
      <c r="A36" s="35"/>
      <c r="B36" s="19">
        <f t="shared" si="6"/>
        <v>0</v>
      </c>
      <c r="C36" s="36"/>
      <c r="D36" s="37"/>
      <c r="E36" s="38"/>
      <c r="F36" s="19">
        <f t="shared" si="7"/>
        <v>0</v>
      </c>
      <c r="G36" s="28"/>
      <c r="H36" s="39" t="s">
        <v>73</v>
      </c>
      <c r="I36" s="76">
        <v>-166</v>
      </c>
      <c r="J36" s="72" t="s">
        <v>67</v>
      </c>
      <c r="K36" s="73" t="s">
        <v>72</v>
      </c>
      <c r="L36" s="74" t="s">
        <v>69</v>
      </c>
      <c r="M36" s="75"/>
      <c r="N36" s="75"/>
      <c r="O36" s="70"/>
    </row>
    <row r="37" s="3" customFormat="1" ht="18" customHeight="1" spans="1:15">
      <c r="A37" s="35"/>
      <c r="B37" s="19">
        <f t="shared" si="6"/>
        <v>0</v>
      </c>
      <c r="C37" s="36"/>
      <c r="D37" s="37"/>
      <c r="E37" s="38"/>
      <c r="F37" s="19">
        <f t="shared" si="7"/>
        <v>0</v>
      </c>
      <c r="G37" s="28"/>
      <c r="H37" s="39" t="s">
        <v>73</v>
      </c>
      <c r="I37" s="19">
        <v>166</v>
      </c>
      <c r="J37" s="51" t="s">
        <v>61</v>
      </c>
      <c r="K37" s="69" t="s">
        <v>74</v>
      </c>
      <c r="L37" s="70"/>
      <c r="M37" s="71"/>
      <c r="N37" s="71"/>
      <c r="O37" s="70"/>
    </row>
    <row r="38" s="3" customFormat="1" ht="18" customHeight="1" spans="1:15">
      <c r="A38" s="35"/>
      <c r="B38" s="19">
        <f t="shared" si="6"/>
        <v>0</v>
      </c>
      <c r="C38" s="36"/>
      <c r="D38" s="37"/>
      <c r="E38" s="38"/>
      <c r="F38" s="19">
        <f t="shared" si="7"/>
        <v>0</v>
      </c>
      <c r="G38" s="28"/>
      <c r="H38" s="24" t="s">
        <v>73</v>
      </c>
      <c r="I38" s="19">
        <v>3000</v>
      </c>
      <c r="J38" s="51" t="s">
        <v>75</v>
      </c>
      <c r="K38" s="69" t="s">
        <v>65</v>
      </c>
      <c r="L38" s="70"/>
      <c r="M38" s="71"/>
      <c r="N38" s="71"/>
      <c r="O38" s="70"/>
    </row>
    <row r="39" s="3" customFormat="1" ht="18" customHeight="1" spans="1:15">
      <c r="A39" s="35"/>
      <c r="B39" s="19">
        <f t="shared" si="6"/>
        <v>0</v>
      </c>
      <c r="C39" s="36"/>
      <c r="D39" s="37"/>
      <c r="E39" s="38"/>
      <c r="F39" s="19">
        <f t="shared" si="7"/>
        <v>0</v>
      </c>
      <c r="G39" s="28"/>
      <c r="H39" s="24" t="s">
        <v>73</v>
      </c>
      <c r="I39" s="19">
        <v>100</v>
      </c>
      <c r="J39" s="51" t="s">
        <v>61</v>
      </c>
      <c r="K39" s="69" t="s">
        <v>62</v>
      </c>
      <c r="L39" s="70"/>
      <c r="M39" s="71"/>
      <c r="N39" s="71"/>
      <c r="O39" s="70"/>
    </row>
    <row r="40" s="3" customFormat="1" ht="18" customHeight="1" spans="1:15">
      <c r="A40" s="35"/>
      <c r="B40" s="19">
        <f t="shared" si="6"/>
        <v>0</v>
      </c>
      <c r="C40" s="36"/>
      <c r="D40" s="37"/>
      <c r="E40" s="38"/>
      <c r="F40" s="19">
        <f t="shared" si="7"/>
        <v>0</v>
      </c>
      <c r="G40" s="28"/>
      <c r="H40" s="24"/>
      <c r="I40" s="19">
        <v>-18134.65</v>
      </c>
      <c r="J40" s="51" t="s">
        <v>77</v>
      </c>
      <c r="K40" s="69" t="s">
        <v>78</v>
      </c>
      <c r="L40" s="70"/>
      <c r="M40" s="71"/>
      <c r="N40" s="71"/>
      <c r="O40" s="70" t="s">
        <v>79</v>
      </c>
    </row>
    <row r="41" s="3" customFormat="1" ht="18" customHeight="1" spans="1:15">
      <c r="A41" s="35"/>
      <c r="B41" s="19">
        <f t="shared" si="6"/>
        <v>0</v>
      </c>
      <c r="C41" s="36"/>
      <c r="D41" s="37"/>
      <c r="E41" s="38"/>
      <c r="F41" s="19">
        <f t="shared" si="7"/>
        <v>0</v>
      </c>
      <c r="G41" s="28"/>
      <c r="H41" s="24"/>
      <c r="I41" s="19">
        <v>18134.6464587156</v>
      </c>
      <c r="J41" s="51" t="s">
        <v>61</v>
      </c>
      <c r="K41" s="69" t="s">
        <v>80</v>
      </c>
      <c r="L41" s="70"/>
      <c r="M41" s="71"/>
      <c r="N41" s="71"/>
      <c r="O41" s="70"/>
    </row>
    <row r="42" s="3" customFormat="1" ht="18" customHeight="1" spans="1:15">
      <c r="A42" s="35"/>
      <c r="B42" s="19">
        <f t="shared" si="6"/>
        <v>0</v>
      </c>
      <c r="C42" s="36"/>
      <c r="D42" s="37"/>
      <c r="E42" s="38"/>
      <c r="F42" s="19">
        <f t="shared" si="7"/>
        <v>0</v>
      </c>
      <c r="G42" s="28"/>
      <c r="H42" s="24"/>
      <c r="I42" s="19">
        <v>-21192.66</v>
      </c>
      <c r="J42" s="51" t="s">
        <v>81</v>
      </c>
      <c r="K42" s="78" t="s">
        <v>82</v>
      </c>
      <c r="L42" s="70"/>
      <c r="M42" s="71"/>
      <c r="N42" s="71"/>
      <c r="O42" s="70"/>
    </row>
    <row r="43" s="3" customFormat="1" ht="18" customHeight="1" spans="1:15">
      <c r="A43" s="35"/>
      <c r="B43" s="19">
        <f t="shared" si="6"/>
        <v>0</v>
      </c>
      <c r="C43" s="36"/>
      <c r="D43" s="37"/>
      <c r="E43" s="38"/>
      <c r="F43" s="19">
        <f t="shared" si="7"/>
        <v>0</v>
      </c>
      <c r="G43" s="28"/>
      <c r="H43" s="24"/>
      <c r="I43" s="19">
        <v>21192.6605504587</v>
      </c>
      <c r="J43" s="51" t="s">
        <v>61</v>
      </c>
      <c r="K43" s="69" t="s">
        <v>83</v>
      </c>
      <c r="L43" s="70"/>
      <c r="M43" s="71"/>
      <c r="N43" s="71"/>
      <c r="O43" s="70"/>
    </row>
    <row r="44" s="3" customFormat="1" ht="18" customHeight="1" spans="1:15">
      <c r="A44" s="35"/>
      <c r="B44" s="19">
        <f t="shared" si="6"/>
        <v>0</v>
      </c>
      <c r="C44" s="36"/>
      <c r="D44" s="37"/>
      <c r="E44" s="38"/>
      <c r="F44" s="19">
        <f t="shared" si="7"/>
        <v>0</v>
      </c>
      <c r="G44" s="28"/>
      <c r="H44" s="24"/>
      <c r="I44" s="25">
        <v>110</v>
      </c>
      <c r="J44" s="51" t="s">
        <v>61</v>
      </c>
      <c r="K44" s="69" t="s">
        <v>74</v>
      </c>
      <c r="L44" s="70"/>
      <c r="M44" s="71"/>
      <c r="N44" s="71"/>
      <c r="O44" s="70"/>
    </row>
    <row r="45" s="3" customFormat="1" ht="18" customHeight="1" spans="1:15">
      <c r="A45" s="35"/>
      <c r="B45" s="19">
        <f t="shared" ref="B45:B49" si="8">ROUND(G45/(1+E45),2)</f>
        <v>0</v>
      </c>
      <c r="C45" s="36"/>
      <c r="D45" s="37"/>
      <c r="E45" s="38"/>
      <c r="F45" s="19">
        <f t="shared" si="7"/>
        <v>0</v>
      </c>
      <c r="G45" s="28"/>
      <c r="H45" s="24"/>
      <c r="I45" s="25">
        <v>16000</v>
      </c>
      <c r="J45" s="51" t="s">
        <v>61</v>
      </c>
      <c r="K45" s="69" t="s">
        <v>84</v>
      </c>
      <c r="L45" s="70"/>
      <c r="M45" s="71"/>
      <c r="N45" s="71"/>
      <c r="O45" s="70"/>
    </row>
    <row r="46" s="3" customFormat="1" ht="18" customHeight="1" spans="1:15">
      <c r="A46" s="35"/>
      <c r="B46" s="19">
        <f t="shared" si="8"/>
        <v>0</v>
      </c>
      <c r="C46" s="36"/>
      <c r="D46" s="37"/>
      <c r="E46" s="38"/>
      <c r="F46" s="19">
        <f t="shared" ref="F46:F49" si="9">ROUND(G46/(1+E46)*E46,2)</f>
        <v>0</v>
      </c>
      <c r="G46" s="28"/>
      <c r="H46" s="24"/>
      <c r="I46" s="25">
        <v>2000</v>
      </c>
      <c r="J46" s="51" t="s">
        <v>75</v>
      </c>
      <c r="K46" s="69" t="s">
        <v>65</v>
      </c>
      <c r="L46" s="70"/>
      <c r="M46" s="71"/>
      <c r="N46" s="71"/>
      <c r="O46" s="70"/>
    </row>
    <row r="47" s="3" customFormat="1" ht="18" customHeight="1" spans="1:15">
      <c r="A47" s="35"/>
      <c r="B47" s="19">
        <f t="shared" si="8"/>
        <v>0</v>
      </c>
      <c r="C47" s="36"/>
      <c r="D47" s="37"/>
      <c r="E47" s="37"/>
      <c r="F47" s="19">
        <f t="shared" si="9"/>
        <v>0</v>
      </c>
      <c r="G47" s="28"/>
      <c r="H47" s="24"/>
      <c r="I47" s="25">
        <v>500</v>
      </c>
      <c r="J47" s="51" t="s">
        <v>61</v>
      </c>
      <c r="K47" s="69" t="s">
        <v>85</v>
      </c>
      <c r="L47" s="70"/>
      <c r="M47" s="71"/>
      <c r="N47" s="71"/>
      <c r="O47" s="70"/>
    </row>
    <row r="48" s="3" customFormat="1" ht="18" customHeight="1" spans="1:15">
      <c r="A48" s="35"/>
      <c r="B48" s="19">
        <f t="shared" si="8"/>
        <v>0</v>
      </c>
      <c r="C48" s="36"/>
      <c r="E48" s="38"/>
      <c r="F48" s="19">
        <f t="shared" si="9"/>
        <v>0</v>
      </c>
      <c r="G48" s="28"/>
      <c r="H48" s="24"/>
      <c r="I48" s="25">
        <v>20815.5</v>
      </c>
      <c r="J48" s="51" t="s">
        <v>61</v>
      </c>
      <c r="K48" s="69" t="s">
        <v>86</v>
      </c>
      <c r="L48" s="70"/>
      <c r="M48" s="71"/>
      <c r="N48" s="71"/>
      <c r="O48" s="70"/>
    </row>
    <row r="49" s="3" customFormat="1" ht="18" customHeight="1" spans="1:15">
      <c r="A49" s="35"/>
      <c r="B49" s="19">
        <f t="shared" si="8"/>
        <v>16458.96</v>
      </c>
      <c r="C49" s="36"/>
      <c r="D49" s="37"/>
      <c r="E49" s="38"/>
      <c r="F49" s="19">
        <f t="shared" si="9"/>
        <v>0</v>
      </c>
      <c r="G49" s="28">
        <v>16458.96</v>
      </c>
      <c r="H49" s="24"/>
      <c r="I49" s="25">
        <v>16458.96</v>
      </c>
      <c r="J49" s="51" t="s">
        <v>61</v>
      </c>
      <c r="K49" s="69" t="s">
        <v>63</v>
      </c>
      <c r="L49" s="70"/>
      <c r="M49" s="71"/>
      <c r="N49" s="71"/>
      <c r="O49" s="70"/>
    </row>
    <row r="50" ht="18" customHeight="1" spans="1:15">
      <c r="A50" s="32" t="s">
        <v>26</v>
      </c>
      <c r="B50" s="40">
        <f t="shared" ref="B50:G50" si="10">SUM(B16:B49)</f>
        <v>1614964.17</v>
      </c>
      <c r="C50" s="32"/>
      <c r="D50" s="41"/>
      <c r="E50" s="41"/>
      <c r="F50" s="42">
        <f t="shared" si="10"/>
        <v>63403.79</v>
      </c>
      <c r="G50" s="43">
        <f t="shared" si="10"/>
        <v>1678367.96</v>
      </c>
      <c r="H50" s="44"/>
      <c r="I50" s="31">
        <f>SUM(I16:I49)</f>
        <v>1499999.99700917</v>
      </c>
      <c r="J50" s="79"/>
      <c r="K50" s="41"/>
      <c r="L50" s="33"/>
      <c r="M50" s="51"/>
      <c r="N50" s="51"/>
      <c r="O50" s="33"/>
    </row>
    <row r="51" ht="18" customHeight="1" spans="1:14">
      <c r="A51" s="45" t="s">
        <v>87</v>
      </c>
      <c r="B51" s="46">
        <f>B13-B50</f>
        <v>-25706.4634277099</v>
      </c>
      <c r="C51" s="45"/>
      <c r="D51" s="47"/>
      <c r="E51" s="47"/>
      <c r="F51" s="46"/>
      <c r="G51" s="46">
        <f>G13-G50</f>
        <v>73759.1400000001</v>
      </c>
      <c r="H51" s="23" t="s">
        <v>88</v>
      </c>
      <c r="I51" s="31">
        <f>I13-I50</f>
        <v>0.0029908255673945</v>
      </c>
      <c r="J51" s="8"/>
      <c r="K51" s="80" t="s">
        <v>89</v>
      </c>
      <c r="M51" s="81"/>
      <c r="N51" s="81"/>
    </row>
    <row r="52" ht="18" customHeight="1" spans="1:11">
      <c r="A52" s="4" t="s">
        <v>90</v>
      </c>
      <c r="C52" s="4"/>
      <c r="K52" s="8" t="s">
        <v>91</v>
      </c>
    </row>
    <row r="53" ht="18" customHeight="1" spans="1:11">
      <c r="A53" s="23" t="s">
        <v>92</v>
      </c>
      <c r="B53" s="22" t="s">
        <v>93</v>
      </c>
      <c r="C53" s="33"/>
      <c r="D53" s="23" t="s">
        <v>92</v>
      </c>
      <c r="E53" s="21" t="s">
        <v>16</v>
      </c>
      <c r="F53" s="48" t="s">
        <v>93</v>
      </c>
      <c r="G53" s="49" t="s">
        <v>94</v>
      </c>
      <c r="H53" s="50" t="s">
        <v>95</v>
      </c>
      <c r="I53" s="48" t="s">
        <v>96</v>
      </c>
      <c r="J53" s="33" t="s">
        <v>97</v>
      </c>
      <c r="K53" s="7"/>
    </row>
    <row r="54" ht="18" customHeight="1" spans="1:11">
      <c r="A54" s="33" t="s">
        <v>99</v>
      </c>
      <c r="B54" s="19">
        <f>(B13-B50)*0.25</f>
        <v>-6426.61585692747</v>
      </c>
      <c r="C54" s="33"/>
      <c r="D54" s="12" t="s">
        <v>100</v>
      </c>
      <c r="E54" s="51" t="s">
        <v>101</v>
      </c>
      <c r="F54" s="52">
        <f>F13-F50</f>
        <v>67680.44929626</v>
      </c>
      <c r="G54" s="49">
        <f>SUM(F7:F9)-SUM(F16:F27)</f>
        <v>17677.2910810811</v>
      </c>
      <c r="H54" s="53">
        <f>F10</f>
        <v>14545.4545454545</v>
      </c>
      <c r="I54" s="52">
        <v>19266.0550458716</v>
      </c>
      <c r="J54" s="33">
        <f>F12</f>
        <v>16191.6486238532</v>
      </c>
      <c r="K54" s="7"/>
    </row>
    <row r="55" ht="18" customHeight="1" spans="1:11">
      <c r="A55" s="33" t="s">
        <v>102</v>
      </c>
      <c r="B55" s="54" t="s">
        <v>103</v>
      </c>
      <c r="C55" s="33"/>
      <c r="D55" s="55" t="s">
        <v>104</v>
      </c>
      <c r="E55" s="56">
        <v>0.05</v>
      </c>
      <c r="F55" s="57">
        <f>SUM(G54:I54)*E55</f>
        <v>2574.44003362036</v>
      </c>
      <c r="G55" s="49">
        <f>G54*E55</f>
        <v>883.864554054055</v>
      </c>
      <c r="H55" s="58">
        <f>H54*E55</f>
        <v>727.272727272725</v>
      </c>
      <c r="I55" s="57">
        <v>963.302752293578</v>
      </c>
      <c r="J55" s="25"/>
      <c r="K55" s="7"/>
    </row>
    <row r="56" ht="18" customHeight="1" spans="1:11">
      <c r="A56" s="33"/>
      <c r="B56" s="54"/>
      <c r="C56" s="33"/>
      <c r="D56" s="59"/>
      <c r="E56" s="56">
        <v>0.07</v>
      </c>
      <c r="F56" s="57">
        <f>J54*E56</f>
        <v>1133.41540366972</v>
      </c>
      <c r="G56" s="49"/>
      <c r="H56" s="58"/>
      <c r="I56" s="57"/>
      <c r="J56" s="25">
        <f>J54*E56</f>
        <v>1133.41540366972</v>
      </c>
      <c r="K56" s="7"/>
    </row>
    <row r="57" ht="18" customHeight="1" spans="1:11">
      <c r="A57" s="33" t="s">
        <v>74</v>
      </c>
      <c r="B57" s="54"/>
      <c r="C57" s="33"/>
      <c r="D57" s="60" t="s">
        <v>105</v>
      </c>
      <c r="E57" s="56">
        <v>0.03</v>
      </c>
      <c r="F57" s="57">
        <f>F54*E57</f>
        <v>2030.4134788878</v>
      </c>
      <c r="G57" s="49">
        <f>G54*E57</f>
        <v>530.318732432433</v>
      </c>
      <c r="H57" s="58">
        <f>H54*E57</f>
        <v>436.363636363635</v>
      </c>
      <c r="I57" s="57">
        <v>577.981651376147</v>
      </c>
      <c r="J57" s="25">
        <f>J54*E57</f>
        <v>485.749458715596</v>
      </c>
      <c r="K57" s="7"/>
    </row>
    <row r="58" ht="18" customHeight="1" spans="1:11">
      <c r="A58" s="33"/>
      <c r="B58" s="25"/>
      <c r="C58" s="33"/>
      <c r="D58" s="60" t="s">
        <v>106</v>
      </c>
      <c r="E58" s="56">
        <v>0.02</v>
      </c>
      <c r="F58" s="57">
        <f>F54*E58</f>
        <v>1353.6089859252</v>
      </c>
      <c r="G58" s="49">
        <f>G54*E58</f>
        <v>353.545821621622</v>
      </c>
      <c r="H58" s="58">
        <f>H54*E58</f>
        <v>290.90909090909</v>
      </c>
      <c r="I58" s="57">
        <v>385.321100917431</v>
      </c>
      <c r="J58" s="25">
        <f>J54*E58</f>
        <v>323.832972477064</v>
      </c>
      <c r="K58" s="7"/>
    </row>
    <row r="59" ht="18" customHeight="1" spans="1:11">
      <c r="A59" s="30" t="s">
        <v>107</v>
      </c>
      <c r="B59" s="40">
        <f t="shared" ref="B59:H59" si="11">SUM(B54:B58)</f>
        <v>-6426.61585692747</v>
      </c>
      <c r="C59" s="33"/>
      <c r="D59" s="30" t="s">
        <v>107</v>
      </c>
      <c r="E59" s="30"/>
      <c r="F59" s="61">
        <f t="shared" si="11"/>
        <v>74772.3271983631</v>
      </c>
      <c r="G59" s="62">
        <f t="shared" si="11"/>
        <v>19445.0201891892</v>
      </c>
      <c r="H59" s="63">
        <f t="shared" si="11"/>
        <v>15999.9999999999</v>
      </c>
      <c r="I59" s="61">
        <v>21192.6605504587</v>
      </c>
      <c r="J59" s="61">
        <f>SUM(J54:J58)</f>
        <v>18134.6464587156</v>
      </c>
      <c r="K59" s="7"/>
    </row>
    <row r="60" ht="18" customHeight="1" spans="3:12">
      <c r="C60" s="4"/>
      <c r="D60" s="2" t="s">
        <v>74</v>
      </c>
      <c r="E60" s="64">
        <v>0.0006</v>
      </c>
      <c r="F60" s="57">
        <f>B13*E60</f>
        <v>953.554623943374</v>
      </c>
      <c r="G60" s="49">
        <f>SUM(B7:B9)*E60</f>
        <v>540.54054054054</v>
      </c>
      <c r="H60" s="58">
        <f>B10*E60</f>
        <v>109.090909090909</v>
      </c>
      <c r="I60" s="57">
        <v>165.137614678899</v>
      </c>
      <c r="J60" s="25"/>
      <c r="K60" s="7"/>
      <c r="L60" s="8" t="s">
        <v>108</v>
      </c>
    </row>
    <row r="61" ht="18" customHeight="1" spans="3:11">
      <c r="C61" s="4"/>
      <c r="D61" s="32" t="s">
        <v>26</v>
      </c>
      <c r="E61" s="32"/>
      <c r="F61" s="43">
        <f t="shared" ref="F61:I61" si="12">F59+F60</f>
        <v>75725.8818223064</v>
      </c>
      <c r="G61" s="62">
        <f t="shared" si="12"/>
        <v>19985.5607297297</v>
      </c>
      <c r="H61" s="65">
        <f t="shared" si="12"/>
        <v>16109.0909090909</v>
      </c>
      <c r="I61" s="43">
        <f t="shared" si="12"/>
        <v>21357.7981651376</v>
      </c>
      <c r="J61" s="31"/>
      <c r="K61" s="7"/>
    </row>
    <row r="62" ht="18" customHeight="1" spans="3:12">
      <c r="C62" s="4"/>
      <c r="I62" s="82"/>
      <c r="L62" s="8" t="s">
        <v>47</v>
      </c>
    </row>
    <row r="63" ht="18" customHeight="1" spans="3:3">
      <c r="C63" s="4"/>
    </row>
    <row r="64" ht="18" customHeight="1" spans="3:3">
      <c r="C64" s="4"/>
    </row>
    <row r="65" ht="18" customHeight="1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</sheetData>
  <protectedRanges>
    <protectedRange password="CF54" sqref="I33" name="区域1"/>
  </protectedRanges>
  <autoFilter ref="A15:O62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D55:D5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3" sqref="C33"/>
    </sheetView>
  </sheetViews>
  <sheetFormatPr defaultColWidth="9" defaultRowHeight="13.5" outlineLevelRow="5" outlineLevelCol="2"/>
  <cols>
    <col min="3" max="3" width="12.6666666666667"/>
  </cols>
  <sheetData>
    <row r="1" spans="1:3">
      <c r="A1" s="1" t="s">
        <v>92</v>
      </c>
      <c r="B1" s="1" t="s">
        <v>16</v>
      </c>
      <c r="C1" s="2" t="s">
        <v>113</v>
      </c>
    </row>
    <row r="2" spans="1:3">
      <c r="A2" s="1" t="s">
        <v>100</v>
      </c>
      <c r="B2" s="1" t="s">
        <v>101</v>
      </c>
      <c r="C2" s="2">
        <v>19266.0550458716</v>
      </c>
    </row>
    <row r="3" spans="1:3">
      <c r="A3" s="1" t="s">
        <v>104</v>
      </c>
      <c r="B3" s="1">
        <v>0.05</v>
      </c>
      <c r="C3" s="2">
        <v>963.302752293578</v>
      </c>
    </row>
    <row r="4" spans="1:3">
      <c r="A4" s="1" t="s">
        <v>105</v>
      </c>
      <c r="B4" s="1">
        <v>0.03</v>
      </c>
      <c r="C4" s="2">
        <v>577.981651376147</v>
      </c>
    </row>
    <row r="5" spans="1:3">
      <c r="A5" s="1" t="s">
        <v>106</v>
      </c>
      <c r="B5" s="1">
        <v>0.02</v>
      </c>
      <c r="C5" s="2">
        <v>385.321100917431</v>
      </c>
    </row>
    <row r="6" spans="1:3">
      <c r="A6" s="1" t="s">
        <v>107</v>
      </c>
      <c r="B6" s="1"/>
      <c r="C6" s="2">
        <v>21192.6605504587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2021-04-23T05:54:36Z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1CD2C6E8146544699463ADBA3258F897</vt:lpwstr>
  </property>
</Properties>
</file>