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新!$A$13:$O$47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H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2020.4.22郑国胜转王光如税金26999.45</t>
        </r>
      </text>
    </comment>
    <comment ref="I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2020.1.3赵坤转税金38603到王光如徽行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<sst xmlns="http://schemas.openxmlformats.org/spreadsheetml/2006/main" count="209" uniqueCount="86">
  <si>
    <t>C6603  砀山县2016年乡村道路畅通工程-道路加宽工程3标段</t>
  </si>
  <si>
    <t>中标日期</t>
  </si>
  <si>
    <t>中标价</t>
  </si>
  <si>
    <t>负责人</t>
  </si>
  <si>
    <t>杨洋</t>
  </si>
  <si>
    <t>建设单位</t>
  </si>
  <si>
    <t>砀山县乡村工业投资发展有限公司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</si>
  <si>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</si>
  <si>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</si>
  <si>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</si>
  <si>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</si>
  <si>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</si>
  <si>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</si>
  <si>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</si>
  <si>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</si>
  <si>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</si>
  <si>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</si>
  <si>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</si>
  <si>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</si>
  <si>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</si>
  <si>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</si>
  <si>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</si>
  <si>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专户</t>
  </si>
  <si>
    <t>专户余额898.04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</si>
  <si>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</si>
  <si>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</si>
  <si>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</si>
  <si>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</si>
  <si>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</si>
  <si>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</si>
  <si>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</si>
  <si>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</si>
  <si>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</si>
  <si>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</si>
  <si>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</si>
  <si>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</si>
  <si>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</si>
  <si>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</si>
  <si>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</si>
  <si>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徽行</t>
  </si>
  <si>
    <t>郑国胜</t>
  </si>
  <si>
    <t>材料</t>
  </si>
  <si>
    <t>专</t>
  </si>
  <si>
    <t>安徽耀宏建材有限公司</t>
  </si>
  <si>
    <t>混凝土</t>
  </si>
  <si>
    <t>宿州安馨建筑工程有限公司</t>
  </si>
  <si>
    <t>黄沙1056吨、4828吨</t>
  </si>
  <si>
    <t>有</t>
  </si>
  <si>
    <t>机械租赁</t>
  </si>
  <si>
    <t>石子2000吨</t>
  </si>
  <si>
    <t>2020-236#-32万</t>
  </si>
  <si>
    <t>普代</t>
  </si>
  <si>
    <t>陈勤</t>
  </si>
  <si>
    <t>劳务</t>
  </si>
  <si>
    <t>暂无合同</t>
  </si>
  <si>
    <t>3次</t>
  </si>
  <si>
    <t>扣</t>
  </si>
  <si>
    <t>补扣前期增值税及附加</t>
  </si>
  <si>
    <t>吴总核算</t>
  </si>
  <si>
    <t>外经证</t>
  </si>
  <si>
    <t>转账手续费</t>
  </si>
  <si>
    <t>暂扣</t>
  </si>
  <si>
    <t>全部管理费</t>
  </si>
  <si>
    <t>18.2月开票扣税</t>
  </si>
  <si>
    <t>代办费</t>
  </si>
  <si>
    <t>管理费（到账1-2次工程款*2%）</t>
  </si>
  <si>
    <t>尚需提供成本</t>
  </si>
  <si>
    <t>可支付金额</t>
  </si>
  <si>
    <t>公司代缴税金：</t>
  </si>
  <si>
    <t>税种</t>
  </si>
  <si>
    <t>税额</t>
  </si>
  <si>
    <t>20.4开票扣税</t>
  </si>
  <si>
    <t>20年1月份开票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</si>
  <si>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</si>
  <si>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</si>
  <si>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</si>
  <si>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</si>
  <si>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</si>
  <si>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</si>
  <si>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</si>
  <si>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</si>
  <si>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</si>
  <si>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</si>
  <si>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砀山县2016年乡村道路畅通工程-道路加宽工程3标段</t>
  </si>
  <si>
    <t>管理费</t>
  </si>
  <si>
    <t>2020.3开票扣税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</si>
</sst>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6" fillId="8" borderId="7" applyNumberFormat="0" applyAlignment="0" applyProtection="0">
      <alignment vertical="center"/>
    </xf>
    <xf numFmtId="0" fontId="5" fillId="7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178" fontId="4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178" fontId="4" fillId="4" borderId="3" xfId="0" applyNumberFormat="1" applyFont="1" applyFill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462915</xdr:colOff>
      <xdr:row>52</xdr:row>
      <xdr:rowOff>125095</xdr:rowOff>
    </xdr:from>
    <xdr:to>
      <xdr:col>8</xdr:col>
      <xdr:colOff>676275</xdr:colOff>
      <xdr:row>60</xdr:row>
      <xdr:rowOff>85725</xdr:rowOff>
    </xdr:to>
    <xdr:pic>
      <xdr:nvPicPr>
        <xdr:cNvPr id="2" name="图片 1" descr="IB9%HM~$8IBIZN]6W$[YLB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2215" y="11633835"/>
          <a:ext cx="946785" cy="1103630"/>
        </a:xfrm>
        <a:prstGeom prst="rect">
          <a:avLst/>
        </a:prstGeom>
      </xdr:spPr>
    </xdr:pic>
    <xdr:clientData/>
  </xdr:twoCellAnchor>
  <xdr:twoCellAnchor editAs="oneCell">
    <xdr:from>
      <xdr:col>6</xdr:col>
      <xdr:colOff>527685</xdr:colOff>
      <xdr:row>51</xdr:row>
      <xdr:rowOff>66675</xdr:rowOff>
    </xdr:from>
    <xdr:to>
      <xdr:col>7</xdr:col>
      <xdr:colOff>451485</xdr:colOff>
      <xdr:row>59</xdr:row>
      <xdr:rowOff>73025</xdr:rowOff>
    </xdr:to>
    <xdr:pic>
      <xdr:nvPicPr>
        <xdr:cNvPr id="3" name="图片 2" descr="]25EKB]%0547_0S]FYFIH0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5280660" y="11432540"/>
          <a:ext cx="1000125" cy="114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A19" workbookViewId="0">
      <selection activeCell="K42" sqref="K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0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42804</v>
      </c>
      <c r="C2" s="11" t="s">
        <v>2</v>
      </c>
      <c r="D2" s="11">
        <v>2570453.31</v>
      </c>
      <c r="E2" s="13" t="s">
        <v>3</v>
      </c>
      <c r="F2" s="11" t="s">
        <v>4</v>
      </c>
      <c r="G2" s="14" t="s">
        <v>5</v>
      </c>
      <c r="H2" s="15" t="s">
        <v>6</v>
      </c>
      <c r="I2" s="48"/>
      <c r="J2" s="49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0"/>
      <c r="J3" s="17"/>
      <c r="K3" s="17"/>
      <c r="L3" s="17"/>
    </row>
    <row r="4" ht="18" customHeight="1" spans="1:12">
      <c r="A4" s="2" t="s">
        <v>9</v>
      </c>
      <c r="H4" s="17"/>
      <c r="I4" s="50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43157</v>
      </c>
      <c r="B7" s="11">
        <f t="shared" ref="B7:B10" si="0">G7/(1+C7+E7)</f>
        <v>926289.189189189</v>
      </c>
      <c r="C7" s="22">
        <v>0.02</v>
      </c>
      <c r="D7" s="59">
        <f t="shared" ref="D7:D10" si="1">G7/(1+E7+C7)*C7</f>
        <v>18525.7837837838</v>
      </c>
      <c r="E7" s="22">
        <v>0.09</v>
      </c>
      <c r="F7" s="11">
        <f t="shared" ref="F7:F10" si="2">G7/(1+C7+E7)*E7</f>
        <v>83366.027027027</v>
      </c>
      <c r="G7" s="60">
        <v>1028181</v>
      </c>
      <c r="H7" s="21">
        <v>43144</v>
      </c>
      <c r="I7" s="11">
        <v>822480</v>
      </c>
      <c r="J7" s="51" t="s">
        <v>21</v>
      </c>
    </row>
    <row r="8" ht="18" customHeight="1" spans="1:10">
      <c r="A8" s="21">
        <v>43833</v>
      </c>
      <c r="B8" s="11">
        <f t="shared" si="0"/>
        <v>917431.19266055</v>
      </c>
      <c r="C8" s="22">
        <v>0.02</v>
      </c>
      <c r="D8" s="59">
        <f t="shared" si="1"/>
        <v>18348.623853211</v>
      </c>
      <c r="E8" s="25">
        <v>0.07</v>
      </c>
      <c r="F8" s="11">
        <f t="shared" si="2"/>
        <v>64220.1834862385</v>
      </c>
      <c r="G8" s="60">
        <v>1000000</v>
      </c>
      <c r="H8" s="21">
        <v>43208</v>
      </c>
      <c r="I8" s="11">
        <v>205620</v>
      </c>
      <c r="J8" s="51" t="s">
        <v>21</v>
      </c>
    </row>
    <row r="9" ht="18" customHeight="1" spans="1:10">
      <c r="A9" s="21">
        <v>43943</v>
      </c>
      <c r="B9" s="11">
        <f t="shared" si="0"/>
        <v>350642.201834862</v>
      </c>
      <c r="C9" s="22">
        <v>0.02</v>
      </c>
      <c r="D9" s="59">
        <f t="shared" si="1"/>
        <v>7012.84403669725</v>
      </c>
      <c r="E9" s="25">
        <v>0.07</v>
      </c>
      <c r="F9" s="11">
        <f t="shared" si="2"/>
        <v>24544.9541284404</v>
      </c>
      <c r="G9" s="60">
        <v>382200</v>
      </c>
      <c r="H9" s="21">
        <v>44036</v>
      </c>
      <c r="I9" s="11">
        <v>1260000</v>
      </c>
      <c r="J9" s="51" t="s">
        <v>22</v>
      </c>
    </row>
    <row r="10" ht="18" customHeight="1" spans="1:11">
      <c r="A10" s="21"/>
      <c r="B10" s="11"/>
      <c r="C10" s="22"/>
      <c r="D10" s="59"/>
      <c r="E10" s="25"/>
      <c r="F10" s="11"/>
      <c r="G10" s="60"/>
      <c r="H10" s="21">
        <v>44076</v>
      </c>
      <c r="I10" s="11">
        <v>122281</v>
      </c>
      <c r="J10" s="51" t="s">
        <v>22</v>
      </c>
      <c r="K10" s="6" t="s">
        <v>23</v>
      </c>
    </row>
    <row r="11" ht="18" customHeight="1" spans="1:10">
      <c r="A11" s="26" t="s">
        <v>24</v>
      </c>
      <c r="B11" s="61">
        <f t="shared" ref="B11:G11" si="3">SUM(B7:B10)</f>
        <v>2194362.5836846</v>
      </c>
      <c r="C11" s="28"/>
      <c r="D11" s="28">
        <f t="shared" si="3"/>
        <v>43887.251673692</v>
      </c>
      <c r="E11" s="28"/>
      <c r="F11" s="62">
        <f t="shared" si="3"/>
        <v>172131.164641706</v>
      </c>
      <c r="G11" s="28">
        <f t="shared" si="3"/>
        <v>2410381</v>
      </c>
      <c r="H11" s="31"/>
      <c r="I11" s="28">
        <f>SUM(I7:I10)</f>
        <v>2410381</v>
      </c>
      <c r="J11" s="31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2" t="s">
        <v>26</v>
      </c>
      <c r="B13" s="19" t="s">
        <v>27</v>
      </c>
      <c r="C13" s="18" t="s">
        <v>28</v>
      </c>
      <c r="D13" s="18" t="s">
        <v>29</v>
      </c>
      <c r="E13" s="18" t="s">
        <v>16</v>
      </c>
      <c r="F13" s="19" t="s">
        <v>30</v>
      </c>
      <c r="G13" s="19" t="s">
        <v>14</v>
      </c>
      <c r="H13" s="18" t="s">
        <v>31</v>
      </c>
      <c r="I13" s="19" t="s">
        <v>32</v>
      </c>
      <c r="J13" s="18" t="s">
        <v>20</v>
      </c>
      <c r="K13" s="52" t="s">
        <v>33</v>
      </c>
      <c r="L13" s="20" t="s">
        <v>34</v>
      </c>
      <c r="M13" s="20" t="s">
        <v>35</v>
      </c>
      <c r="N13" s="20" t="s">
        <v>36</v>
      </c>
      <c r="O13" s="20" t="s">
        <v>37</v>
      </c>
    </row>
    <row r="14" s="1" customFormat="1" ht="18" customHeight="1" spans="1:15">
      <c r="A14" s="33">
        <v>43118</v>
      </c>
      <c r="B14" s="63">
        <f t="shared" ref="B14:B28" si="4">ROUND(G14/(1+E14),2)</f>
        <v>90700</v>
      </c>
      <c r="C14" s="34"/>
      <c r="D14" s="35" t="s">
        <v>38</v>
      </c>
      <c r="E14" s="36"/>
      <c r="F14" s="63">
        <f t="shared" ref="F14:F28" si="5">ROUND(G14/(1+E14)*E14,2)</f>
        <v>0</v>
      </c>
      <c r="G14" s="60">
        <v>90700</v>
      </c>
      <c r="H14" s="21">
        <v>43145</v>
      </c>
      <c r="I14" s="11">
        <v>90700</v>
      </c>
      <c r="J14" s="51" t="s">
        <v>39</v>
      </c>
      <c r="K14" s="53" t="s">
        <v>40</v>
      </c>
      <c r="L14" s="54" t="s">
        <v>41</v>
      </c>
      <c r="M14" s="55"/>
      <c r="N14" s="55"/>
      <c r="O14" s="54"/>
    </row>
    <row r="15" s="1" customFormat="1" ht="18" customHeight="1" spans="1:15">
      <c r="A15" s="33">
        <v>43118</v>
      </c>
      <c r="B15" s="63">
        <f t="shared" si="4"/>
        <v>914786.41</v>
      </c>
      <c r="C15" s="34">
        <v>10</v>
      </c>
      <c r="D15" s="35" t="s">
        <v>42</v>
      </c>
      <c r="E15" s="36">
        <v>0.03</v>
      </c>
      <c r="F15" s="63">
        <f t="shared" si="5"/>
        <v>27443.59</v>
      </c>
      <c r="G15" s="60">
        <v>942230</v>
      </c>
      <c r="H15" s="21">
        <v>43145</v>
      </c>
      <c r="I15" s="11">
        <v>631315</v>
      </c>
      <c r="J15" s="51" t="s">
        <v>21</v>
      </c>
      <c r="K15" s="53" t="s">
        <v>43</v>
      </c>
      <c r="L15" s="54" t="s">
        <v>44</v>
      </c>
      <c r="M15" s="55"/>
      <c r="N15" s="55"/>
      <c r="O15" s="54"/>
    </row>
    <row r="16" s="1" customFormat="1" ht="18" customHeight="1" spans="1:15">
      <c r="A16" s="33"/>
      <c r="B16" s="63"/>
      <c r="C16" s="34"/>
      <c r="D16" s="35"/>
      <c r="E16" s="36"/>
      <c r="F16" s="63"/>
      <c r="G16" s="60"/>
      <c r="H16" s="21">
        <v>43210</v>
      </c>
      <c r="I16" s="11">
        <v>201507</v>
      </c>
      <c r="J16" s="51" t="s">
        <v>21</v>
      </c>
      <c r="K16" s="53" t="s">
        <v>43</v>
      </c>
      <c r="L16" s="54"/>
      <c r="M16" s="55"/>
      <c r="N16" s="55"/>
      <c r="O16" s="54"/>
    </row>
    <row r="17" s="1" customFormat="1" ht="18" customHeight="1" spans="1:15">
      <c r="A17" s="33">
        <v>43800</v>
      </c>
      <c r="B17" s="63">
        <f t="shared" si="4"/>
        <v>679611.65</v>
      </c>
      <c r="C17" s="34"/>
      <c r="D17" s="35" t="s">
        <v>42</v>
      </c>
      <c r="E17" s="37">
        <v>0.03</v>
      </c>
      <c r="F17" s="63">
        <f t="shared" si="5"/>
        <v>20388.35</v>
      </c>
      <c r="G17" s="60">
        <f>84480+84480+30540+100100+100100+100100+100100+100100</f>
        <v>700000</v>
      </c>
      <c r="H17" s="21"/>
      <c r="I17" s="11"/>
      <c r="J17" s="51"/>
      <c r="K17" s="53" t="s">
        <v>45</v>
      </c>
      <c r="L17" s="54" t="s">
        <v>46</v>
      </c>
      <c r="M17" s="55" t="s">
        <v>47</v>
      </c>
      <c r="N17" s="55"/>
      <c r="O17" s="54"/>
    </row>
    <row r="18" s="1" customFormat="1" ht="18" customHeight="1" spans="1:15">
      <c r="A18" s="33">
        <v>43800</v>
      </c>
      <c r="B18" s="63">
        <f t="shared" si="4"/>
        <v>291262.14</v>
      </c>
      <c r="C18" s="34"/>
      <c r="D18" s="35" t="s">
        <v>42</v>
      </c>
      <c r="E18" s="37">
        <v>0.03</v>
      </c>
      <c r="F18" s="63">
        <f t="shared" si="5"/>
        <v>8737.86</v>
      </c>
      <c r="G18" s="60">
        <f>20000+100000+72000+8000+100000</f>
        <v>300000</v>
      </c>
      <c r="H18" s="21"/>
      <c r="I18" s="11"/>
      <c r="J18" s="51"/>
      <c r="K18" s="53" t="s">
        <v>45</v>
      </c>
      <c r="L18" s="54" t="s">
        <v>48</v>
      </c>
      <c r="M18" s="55" t="s">
        <v>47</v>
      </c>
      <c r="N18" s="55"/>
      <c r="O18" s="54"/>
    </row>
    <row r="19" s="1" customFormat="1" ht="18" customHeight="1" spans="1:15">
      <c r="A19" s="33">
        <v>44013</v>
      </c>
      <c r="B19" s="63">
        <f t="shared" si="4"/>
        <v>316831.68</v>
      </c>
      <c r="C19" s="34"/>
      <c r="D19" s="35" t="s">
        <v>42</v>
      </c>
      <c r="E19" s="37">
        <v>0.01</v>
      </c>
      <c r="F19" s="63">
        <f t="shared" si="5"/>
        <v>3168.32</v>
      </c>
      <c r="G19" s="60">
        <v>320000</v>
      </c>
      <c r="H19" s="21"/>
      <c r="I19" s="11"/>
      <c r="J19" s="51"/>
      <c r="K19" s="53" t="s">
        <v>45</v>
      </c>
      <c r="L19" s="54" t="s">
        <v>49</v>
      </c>
      <c r="M19" s="55" t="s">
        <v>50</v>
      </c>
      <c r="N19" s="55"/>
      <c r="O19" s="54"/>
    </row>
    <row r="20" s="1" customFormat="1" ht="18" customHeight="1" spans="1:15">
      <c r="A20" s="33">
        <v>44013</v>
      </c>
      <c r="B20" s="63">
        <f t="shared" si="4"/>
        <v>62200</v>
      </c>
      <c r="C20" s="34"/>
      <c r="D20" s="35" t="s">
        <v>51</v>
      </c>
      <c r="E20" s="36"/>
      <c r="F20" s="63">
        <f t="shared" si="5"/>
        <v>0</v>
      </c>
      <c r="G20" s="60">
        <v>62200</v>
      </c>
      <c r="H20" s="21"/>
      <c r="I20" s="11"/>
      <c r="J20" s="51"/>
      <c r="K20" s="53" t="s">
        <v>52</v>
      </c>
      <c r="L20" s="54" t="s">
        <v>53</v>
      </c>
      <c r="M20" s="55" t="s">
        <v>54</v>
      </c>
      <c r="N20" s="55"/>
      <c r="O20" s="54"/>
    </row>
    <row r="21" s="1" customFormat="1" ht="18" customHeight="1" spans="1:15">
      <c r="A21" s="33"/>
      <c r="B21" s="63">
        <f t="shared" si="4"/>
        <v>0</v>
      </c>
      <c r="C21" s="34"/>
      <c r="D21" s="35"/>
      <c r="E21" s="36"/>
      <c r="F21" s="63">
        <f t="shared" si="5"/>
        <v>0</v>
      </c>
      <c r="G21" s="60"/>
      <c r="H21" s="10">
        <v>44103</v>
      </c>
      <c r="I21" s="63">
        <v>700000</v>
      </c>
      <c r="J21" s="55"/>
      <c r="K21" s="53" t="s">
        <v>45</v>
      </c>
      <c r="L21" s="54"/>
      <c r="M21" s="55"/>
      <c r="N21" s="55"/>
      <c r="O21" s="54"/>
    </row>
    <row r="22" s="1" customFormat="1" ht="18" customHeight="1" spans="1:15">
      <c r="A22" s="33"/>
      <c r="B22" s="63">
        <f t="shared" si="4"/>
        <v>0</v>
      </c>
      <c r="C22" s="34"/>
      <c r="D22" s="35"/>
      <c r="E22" s="36"/>
      <c r="F22" s="63">
        <f t="shared" si="5"/>
        <v>0</v>
      </c>
      <c r="G22" s="60"/>
      <c r="H22" s="10">
        <v>44103</v>
      </c>
      <c r="I22" s="63">
        <v>253176.34</v>
      </c>
      <c r="J22" s="55"/>
      <c r="K22" s="53" t="s">
        <v>45</v>
      </c>
      <c r="L22" s="54"/>
      <c r="M22" s="55"/>
      <c r="N22" s="55"/>
      <c r="O22" s="54"/>
    </row>
    <row r="23" s="1" customFormat="1" ht="18" customHeight="1" spans="1:15">
      <c r="A23" s="33"/>
      <c r="B23" s="63"/>
      <c r="C23" s="34"/>
      <c r="D23" s="35"/>
      <c r="E23" s="36"/>
      <c r="F23" s="63"/>
      <c r="G23" s="60"/>
      <c r="H23" s="21"/>
      <c r="I23" s="68"/>
      <c r="J23" s="69"/>
      <c r="K23" s="53"/>
      <c r="L23" s="54"/>
      <c r="M23" s="55"/>
      <c r="N23" s="55"/>
      <c r="O23" s="54"/>
    </row>
    <row r="24" s="1" customFormat="1" ht="18" customHeight="1" spans="1:15">
      <c r="A24" s="33"/>
      <c r="B24" s="63"/>
      <c r="C24" s="34"/>
      <c r="D24" s="35"/>
      <c r="E24" s="36"/>
      <c r="F24" s="63"/>
      <c r="G24" s="60"/>
      <c r="H24" s="21"/>
      <c r="I24" s="68"/>
      <c r="J24" s="69"/>
      <c r="K24" s="53"/>
      <c r="L24" s="54"/>
      <c r="M24" s="55"/>
      <c r="N24" s="55"/>
      <c r="O24" s="54"/>
    </row>
    <row r="25" s="1" customFormat="1" ht="18" customHeight="1" spans="1:15">
      <c r="A25" s="33"/>
      <c r="B25" s="63"/>
      <c r="C25" s="34"/>
      <c r="D25" s="35"/>
      <c r="E25" s="36"/>
      <c r="F25" s="63"/>
      <c r="G25" s="60"/>
      <c r="H25" s="21"/>
      <c r="I25" s="68"/>
      <c r="J25" s="69"/>
      <c r="K25" s="53"/>
      <c r="L25" s="54"/>
      <c r="M25" s="55"/>
      <c r="N25" s="55"/>
      <c r="O25" s="54"/>
    </row>
    <row r="26" s="1" customFormat="1" ht="18" customHeight="1" spans="1:15">
      <c r="A26" s="33"/>
      <c r="B26" s="63"/>
      <c r="C26" s="34"/>
      <c r="D26" s="35"/>
      <c r="E26" s="36"/>
      <c r="F26" s="63"/>
      <c r="G26" s="60"/>
      <c r="H26" s="21"/>
      <c r="I26" s="68"/>
      <c r="J26" s="69"/>
      <c r="K26" s="53"/>
      <c r="L26" s="54"/>
      <c r="M26" s="55"/>
      <c r="N26" s="55"/>
      <c r="O26" s="54"/>
    </row>
    <row r="27" s="1" customFormat="1" ht="18" customHeight="1" spans="1:15">
      <c r="A27" s="33"/>
      <c r="B27" s="63"/>
      <c r="C27" s="34"/>
      <c r="D27" s="35"/>
      <c r="E27" s="36"/>
      <c r="F27" s="63"/>
      <c r="G27" s="60"/>
      <c r="H27" s="21"/>
      <c r="I27" s="11"/>
      <c r="J27" s="69"/>
      <c r="K27" s="53"/>
      <c r="L27" s="54"/>
      <c r="M27" s="55"/>
      <c r="N27" s="55"/>
      <c r="O27" s="54"/>
    </row>
    <row r="28" s="1" customFormat="1" ht="18" customHeight="1" spans="1:15">
      <c r="A28" s="33"/>
      <c r="B28" s="63"/>
      <c r="C28" s="34"/>
      <c r="D28" s="35"/>
      <c r="E28" s="36"/>
      <c r="F28" s="63"/>
      <c r="G28" s="60"/>
      <c r="H28" s="21" t="s">
        <v>55</v>
      </c>
      <c r="I28" s="11">
        <v>760</v>
      </c>
      <c r="J28" s="69" t="s">
        <v>56</v>
      </c>
      <c r="K28" s="53" t="s">
        <v>57</v>
      </c>
      <c r="L28" s="54"/>
      <c r="M28" s="55"/>
      <c r="N28" s="55"/>
      <c r="O28" s="54" t="s">
        <v>58</v>
      </c>
    </row>
    <row r="29" s="1" customFormat="1" ht="18" customHeight="1" spans="1:15">
      <c r="A29" s="33"/>
      <c r="B29" s="63"/>
      <c r="C29" s="34"/>
      <c r="D29" s="35"/>
      <c r="E29" s="36"/>
      <c r="F29" s="63"/>
      <c r="G29" s="60"/>
      <c r="H29" s="21" t="s">
        <v>55</v>
      </c>
      <c r="I29" s="11">
        <v>500</v>
      </c>
      <c r="J29" s="69" t="s">
        <v>56</v>
      </c>
      <c r="K29" s="53" t="s">
        <v>59</v>
      </c>
      <c r="L29" s="54"/>
      <c r="M29" s="55"/>
      <c r="N29" s="55"/>
      <c r="O29" s="54"/>
    </row>
    <row r="30" s="1" customFormat="1" ht="18" customHeight="1" spans="1:15">
      <c r="A30" s="33"/>
      <c r="B30" s="63"/>
      <c r="C30" s="34"/>
      <c r="D30" s="35"/>
      <c r="E30" s="36"/>
      <c r="F30" s="63"/>
      <c r="G30" s="60"/>
      <c r="H30" s="21" t="s">
        <v>55</v>
      </c>
      <c r="I30" s="11">
        <v>200</v>
      </c>
      <c r="J30" s="69" t="s">
        <v>56</v>
      </c>
      <c r="K30" s="53" t="s">
        <v>60</v>
      </c>
      <c r="L30" s="54"/>
      <c r="M30" s="55"/>
      <c r="N30" s="55"/>
      <c r="O30" s="54"/>
    </row>
    <row r="31" s="1" customFormat="1" ht="18" customHeight="1" spans="1:15">
      <c r="A31" s="33"/>
      <c r="B31" s="63">
        <f t="shared" ref="B31:B36" si="6">ROUND(G31/(1+E31),2)</f>
        <v>0</v>
      </c>
      <c r="C31" s="34"/>
      <c r="D31" s="35"/>
      <c r="E31" s="36"/>
      <c r="F31" s="63">
        <f t="shared" ref="F31:F36" si="7">ROUND(G31/(1+E31)*E31,2)</f>
        <v>0</v>
      </c>
      <c r="G31" s="60"/>
      <c r="H31" s="21" t="s">
        <v>55</v>
      </c>
      <c r="I31" s="11">
        <v>400000</v>
      </c>
      <c r="J31" s="70" t="s">
        <v>61</v>
      </c>
      <c r="K31" s="53"/>
      <c r="L31" s="54"/>
      <c r="M31" s="55"/>
      <c r="N31" s="55"/>
      <c r="O31" s="54"/>
    </row>
    <row r="32" s="1" customFormat="1" ht="18" customHeight="1" spans="1:15">
      <c r="A32" s="33"/>
      <c r="B32" s="63">
        <f t="shared" si="6"/>
        <v>27644.66</v>
      </c>
      <c r="C32" s="34"/>
      <c r="D32" s="35"/>
      <c r="E32" s="36"/>
      <c r="F32" s="63">
        <f t="shared" si="7"/>
        <v>0</v>
      </c>
      <c r="G32" s="60">
        <v>27644.66</v>
      </c>
      <c r="H32" s="21" t="s">
        <v>55</v>
      </c>
      <c r="I32" s="11">
        <v>27644.66</v>
      </c>
      <c r="J32" s="51" t="s">
        <v>56</v>
      </c>
      <c r="K32" s="53" t="s">
        <v>62</v>
      </c>
      <c r="L32" s="54"/>
      <c r="M32" s="55"/>
      <c r="N32" s="55"/>
      <c r="O32" s="54"/>
    </row>
    <row r="33" s="1" customFormat="1" ht="18" customHeight="1" spans="1:15">
      <c r="A33" s="33"/>
      <c r="B33" s="63">
        <f t="shared" si="6"/>
        <v>0</v>
      </c>
      <c r="C33" s="34"/>
      <c r="D33" s="35"/>
      <c r="E33" s="36"/>
      <c r="F33" s="63">
        <f t="shared" si="7"/>
        <v>0</v>
      </c>
      <c r="G33" s="60"/>
      <c r="H33" s="21"/>
      <c r="I33" s="11">
        <v>20000</v>
      </c>
      <c r="J33" s="51" t="s">
        <v>61</v>
      </c>
      <c r="K33" s="53"/>
      <c r="L33" s="54"/>
      <c r="M33" s="55"/>
      <c r="N33" s="55"/>
      <c r="O33" s="54"/>
    </row>
    <row r="34" s="1" customFormat="1" ht="18" customHeight="1" spans="1:15">
      <c r="A34" s="33"/>
      <c r="B34" s="63">
        <f t="shared" si="6"/>
        <v>0</v>
      </c>
      <c r="C34" s="34"/>
      <c r="D34" s="35"/>
      <c r="E34" s="36"/>
      <c r="F34" s="63">
        <f t="shared" si="7"/>
        <v>0</v>
      </c>
      <c r="G34" s="60"/>
      <c r="H34" s="21"/>
      <c r="I34" s="11">
        <v>61515</v>
      </c>
      <c r="J34" s="51" t="s">
        <v>56</v>
      </c>
      <c r="K34" s="53" t="s">
        <v>63</v>
      </c>
      <c r="L34" s="54"/>
      <c r="M34" s="55"/>
      <c r="N34" s="55"/>
      <c r="O34" s="54"/>
    </row>
    <row r="35" s="1" customFormat="1" ht="18" customHeight="1" spans="1:15">
      <c r="A35" s="33"/>
      <c r="B35" s="63">
        <f t="shared" si="6"/>
        <v>0</v>
      </c>
      <c r="C35" s="34"/>
      <c r="D35" s="35"/>
      <c r="E35" s="36"/>
      <c r="F35" s="63">
        <f t="shared" si="7"/>
        <v>0</v>
      </c>
      <c r="G35" s="60"/>
      <c r="H35" s="21"/>
      <c r="I35" s="11">
        <v>2500</v>
      </c>
      <c r="J35" s="51" t="s">
        <v>56</v>
      </c>
      <c r="K35" s="53" t="s">
        <v>64</v>
      </c>
      <c r="L35" s="54"/>
      <c r="M35" s="55"/>
      <c r="N35" s="55"/>
      <c r="O35" s="54"/>
    </row>
    <row r="36" s="1" customFormat="1" ht="18" customHeight="1" spans="1:15">
      <c r="A36" s="33"/>
      <c r="B36" s="63">
        <f t="shared" si="6"/>
        <v>20563</v>
      </c>
      <c r="C36" s="34"/>
      <c r="D36" s="35"/>
      <c r="E36" s="36"/>
      <c r="F36" s="63">
        <f t="shared" si="7"/>
        <v>0</v>
      </c>
      <c r="G36" s="60">
        <f>16450+4113</f>
        <v>20563</v>
      </c>
      <c r="H36" s="21"/>
      <c r="I36" s="11">
        <f>G36</f>
        <v>20563</v>
      </c>
      <c r="J36" s="51" t="s">
        <v>56</v>
      </c>
      <c r="K36" s="53" t="s">
        <v>65</v>
      </c>
      <c r="L36" s="54"/>
      <c r="M36" s="55"/>
      <c r="N36" s="55"/>
      <c r="O36" s="54"/>
    </row>
    <row r="37" ht="18" customHeight="1" spans="1:15">
      <c r="A37" s="28" t="s">
        <v>24</v>
      </c>
      <c r="B37" s="61">
        <f>SUM(B14:B36)</f>
        <v>2403599.54</v>
      </c>
      <c r="C37" s="28"/>
      <c r="D37" s="38"/>
      <c r="E37" s="38"/>
      <c r="F37" s="62">
        <f>SUM(F14:F36)</f>
        <v>59738.12</v>
      </c>
      <c r="G37" s="64">
        <f>SUM(G14:G36)</f>
        <v>2463337.66</v>
      </c>
      <c r="H37" s="40"/>
      <c r="I37" s="28">
        <f>SUM(I14:I36)</f>
        <v>2410381</v>
      </c>
      <c r="J37" s="56"/>
      <c r="K37" s="38"/>
      <c r="L37" s="31"/>
      <c r="M37" s="51"/>
      <c r="N37" s="51"/>
      <c r="O37" s="31"/>
    </row>
    <row r="38" ht="18" customHeight="1" spans="1:14">
      <c r="A38" s="41" t="s">
        <v>66</v>
      </c>
      <c r="B38" s="41">
        <f>B11-B37</f>
        <v>-209236.956315399</v>
      </c>
      <c r="C38" s="41"/>
      <c r="D38" s="43"/>
      <c r="E38" s="43"/>
      <c r="F38" s="42"/>
      <c r="G38" s="41">
        <f>G11-G37</f>
        <v>-52956.6600000001</v>
      </c>
      <c r="H38" s="20" t="s">
        <v>67</v>
      </c>
      <c r="I38" s="28">
        <f>I11-I37</f>
        <v>0</v>
      </c>
      <c r="J38" s="6"/>
      <c r="K38" s="57"/>
      <c r="M38" s="58"/>
      <c r="N38" s="58"/>
    </row>
    <row r="39" ht="18" customHeight="1" spans="1:3">
      <c r="A39" s="2" t="s">
        <v>68</v>
      </c>
      <c r="C39" s="2"/>
    </row>
    <row r="40" ht="18" customHeight="1" spans="1:9">
      <c r="A40" s="20" t="s">
        <v>69</v>
      </c>
      <c r="B40" s="19" t="s">
        <v>70</v>
      </c>
      <c r="C40" s="31"/>
      <c r="D40" s="20" t="s">
        <v>69</v>
      </c>
      <c r="E40" s="18" t="s">
        <v>16</v>
      </c>
      <c r="F40" s="19" t="s">
        <v>70</v>
      </c>
      <c r="G40" s="65" t="s">
        <v>63</v>
      </c>
      <c r="H40" s="11" t="s">
        <v>71</v>
      </c>
      <c r="I40" s="12" t="s">
        <v>72</v>
      </c>
    </row>
    <row r="41" ht="18" customHeight="1" spans="1:9">
      <c r="A41" s="31" t="s">
        <v>73</v>
      </c>
      <c r="B41" s="16">
        <f>(B11-B37)*0.25</f>
        <v>-52309.2390788497</v>
      </c>
      <c r="C41" s="31"/>
      <c r="D41" s="44" t="s">
        <v>74</v>
      </c>
      <c r="E41" s="45" t="s">
        <v>75</v>
      </c>
      <c r="F41" s="62">
        <f>F11-F37</f>
        <v>112393.044641706</v>
      </c>
      <c r="G41" s="66">
        <v>55922.44</v>
      </c>
      <c r="H41" s="62">
        <f>F9</f>
        <v>24544.9541284404</v>
      </c>
      <c r="I41" s="62">
        <f>F8-F17-F18</f>
        <v>35093.9734862385</v>
      </c>
    </row>
    <row r="42" ht="18" customHeight="1" spans="1:9">
      <c r="A42" s="31" t="s">
        <v>76</v>
      </c>
      <c r="B42" s="46" t="s">
        <v>77</v>
      </c>
      <c r="C42" s="31"/>
      <c r="D42" s="47" t="s">
        <v>78</v>
      </c>
      <c r="E42" s="13">
        <v>0.07</v>
      </c>
      <c r="F42" s="11">
        <f>F41*E42</f>
        <v>7867.51312491942</v>
      </c>
      <c r="G42" s="67">
        <v>2796.12</v>
      </c>
      <c r="H42" s="11">
        <f>H41*0.05</f>
        <v>1227.24770642202</v>
      </c>
      <c r="I42" s="11">
        <f>I41*0.05</f>
        <v>1754.69867431193</v>
      </c>
    </row>
    <row r="43" ht="18" customHeight="1" spans="1:9">
      <c r="A43" s="31" t="s">
        <v>79</v>
      </c>
      <c r="B43" s="46" t="s">
        <v>77</v>
      </c>
      <c r="C43" s="31"/>
      <c r="D43" s="47" t="s">
        <v>80</v>
      </c>
      <c r="E43" s="13">
        <v>0.03</v>
      </c>
      <c r="F43" s="11">
        <f>F41*E43</f>
        <v>3371.79133925118</v>
      </c>
      <c r="G43" s="67">
        <v>1677.67</v>
      </c>
      <c r="H43" s="11">
        <f>H41*E43</f>
        <v>736.348623853211</v>
      </c>
      <c r="I43" s="11">
        <f>I41*E43</f>
        <v>1052.81920458716</v>
      </c>
    </row>
    <row r="44" ht="18" customHeight="1" spans="1:9">
      <c r="A44" s="31"/>
      <c r="B44" s="12"/>
      <c r="C44" s="31"/>
      <c r="D44" s="47" t="s">
        <v>81</v>
      </c>
      <c r="E44" s="13">
        <v>0.02</v>
      </c>
      <c r="F44" s="11">
        <f>F41*E44</f>
        <v>2247.86089283412</v>
      </c>
      <c r="G44" s="67">
        <v>1118.45</v>
      </c>
      <c r="H44" s="11">
        <f>H41*E44</f>
        <v>490.899082568807</v>
      </c>
      <c r="I44" s="11">
        <f>I41*E44</f>
        <v>701.879469724771</v>
      </c>
    </row>
    <row r="45" ht="18" customHeight="1" spans="1:9">
      <c r="A45" s="26" t="s">
        <v>82</v>
      </c>
      <c r="B45" s="27">
        <f t="shared" ref="B45:I45" si="8">SUM(B41:B44)</f>
        <v>-52309.2390788497</v>
      </c>
      <c r="C45" s="31"/>
      <c r="D45" s="44" t="s">
        <v>82</v>
      </c>
      <c r="E45" s="44"/>
      <c r="F45" s="62">
        <f t="shared" si="8"/>
        <v>125880.209998711</v>
      </c>
      <c r="G45" s="62">
        <f t="shared" si="8"/>
        <v>61514.68</v>
      </c>
      <c r="H45" s="62">
        <f t="shared" si="8"/>
        <v>26999.4495412844</v>
      </c>
      <c r="I45" s="62">
        <f t="shared" si="8"/>
        <v>38603.3708348624</v>
      </c>
    </row>
    <row r="46" ht="18" customHeight="1" spans="3:3">
      <c r="C46" s="2"/>
    </row>
    <row r="47" ht="18" customHeight="1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</sheetData>
  <autoFilter ref="A13:O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opLeftCell="A19" workbookViewId="0">
      <selection activeCell="L7" sqref="L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83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42804</v>
      </c>
      <c r="C2" s="11" t="s">
        <v>2</v>
      </c>
      <c r="D2" s="12">
        <v>2570453.31</v>
      </c>
      <c r="E2" s="13" t="s">
        <v>3</v>
      </c>
      <c r="F2" s="11" t="s">
        <v>4</v>
      </c>
      <c r="G2" s="14" t="s">
        <v>5</v>
      </c>
      <c r="H2" s="15" t="s">
        <v>6</v>
      </c>
      <c r="I2" s="48"/>
      <c r="J2" s="49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0"/>
      <c r="J3" s="17"/>
      <c r="K3" s="17"/>
      <c r="L3" s="17"/>
    </row>
    <row r="4" ht="18" customHeight="1" spans="1:12">
      <c r="A4" s="2" t="s">
        <v>9</v>
      </c>
      <c r="H4" s="17"/>
      <c r="I4" s="50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43157</v>
      </c>
      <c r="B7" s="12">
        <f>G7/(1+C7+E7)</f>
        <v>926289.189189189</v>
      </c>
      <c r="C7" s="22">
        <v>0.02</v>
      </c>
      <c r="D7" s="23">
        <f>G7/(1+E7+C7)*C7</f>
        <v>18525.7837837838</v>
      </c>
      <c r="E7" s="22">
        <v>0.09</v>
      </c>
      <c r="F7" s="12">
        <f>G7/(1+C7+E7)*E7</f>
        <v>83366.027027027</v>
      </c>
      <c r="G7" s="24">
        <v>1028181</v>
      </c>
      <c r="H7" s="21">
        <v>43144</v>
      </c>
      <c r="I7" s="12">
        <v>822480</v>
      </c>
      <c r="J7" s="51" t="s">
        <v>21</v>
      </c>
    </row>
    <row r="8" ht="18" customHeight="1" spans="1:10">
      <c r="A8" s="21"/>
      <c r="B8" s="12">
        <f t="shared" ref="B8:B10" si="0">G8/(1+C8+E8)</f>
        <v>0</v>
      </c>
      <c r="C8" s="22">
        <v>0.02</v>
      </c>
      <c r="D8" s="23">
        <f t="shared" ref="D8:D10" si="1">G8/(1+E8+C8)*C8</f>
        <v>0</v>
      </c>
      <c r="E8" s="25">
        <v>0.07</v>
      </c>
      <c r="F8" s="12">
        <f t="shared" ref="F8:F10" si="2">G8/(1+C8+E8)*E8</f>
        <v>0</v>
      </c>
      <c r="G8" s="24"/>
      <c r="H8" s="21">
        <v>43208</v>
      </c>
      <c r="I8" s="12">
        <v>205620</v>
      </c>
      <c r="J8" s="51" t="s">
        <v>21</v>
      </c>
    </row>
    <row r="9" ht="18" customHeight="1" spans="1:10">
      <c r="A9" s="21"/>
      <c r="B9" s="12">
        <f t="shared" si="0"/>
        <v>0</v>
      </c>
      <c r="C9" s="22">
        <v>0.02</v>
      </c>
      <c r="D9" s="23">
        <f t="shared" si="1"/>
        <v>0</v>
      </c>
      <c r="E9" s="25">
        <v>0.07</v>
      </c>
      <c r="F9" s="12">
        <f t="shared" si="2"/>
        <v>0</v>
      </c>
      <c r="G9" s="24"/>
      <c r="H9" s="21"/>
      <c r="I9" s="12"/>
      <c r="J9" s="51"/>
    </row>
    <row r="10" ht="18" customHeight="1" spans="1:10">
      <c r="A10" s="21"/>
      <c r="B10" s="12">
        <f t="shared" si="0"/>
        <v>0</v>
      </c>
      <c r="C10" s="22">
        <v>0.02</v>
      </c>
      <c r="D10" s="23">
        <f t="shared" si="1"/>
        <v>0</v>
      </c>
      <c r="E10" s="25">
        <v>0.07</v>
      </c>
      <c r="F10" s="12">
        <f t="shared" si="2"/>
        <v>0</v>
      </c>
      <c r="G10" s="24"/>
      <c r="H10" s="21"/>
      <c r="I10" s="12"/>
      <c r="J10" s="51"/>
    </row>
    <row r="11" ht="18" customHeight="1" spans="1:10">
      <c r="A11" s="26" t="s">
        <v>24</v>
      </c>
      <c r="B11" s="27">
        <f>SUM(B7:B10)</f>
        <v>926289.189189189</v>
      </c>
      <c r="C11" s="28"/>
      <c r="D11" s="29">
        <f t="shared" ref="D11:G11" si="3">SUM(D7:D10)</f>
        <v>18525.7837837838</v>
      </c>
      <c r="E11" s="28"/>
      <c r="F11" s="30">
        <f t="shared" si="3"/>
        <v>83366.027027027</v>
      </c>
      <c r="G11" s="29">
        <f t="shared" si="3"/>
        <v>1028181</v>
      </c>
      <c r="H11" s="31"/>
      <c r="I11" s="29">
        <f>SUM(I7:I10)</f>
        <v>1028100</v>
      </c>
      <c r="J11" s="31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2" t="s">
        <v>26</v>
      </c>
      <c r="B13" s="19" t="s">
        <v>27</v>
      </c>
      <c r="C13" s="18" t="s">
        <v>28</v>
      </c>
      <c r="D13" s="18" t="s">
        <v>29</v>
      </c>
      <c r="E13" s="18" t="s">
        <v>16</v>
      </c>
      <c r="F13" s="19" t="s">
        <v>30</v>
      </c>
      <c r="G13" s="19" t="s">
        <v>14</v>
      </c>
      <c r="H13" s="18" t="s">
        <v>31</v>
      </c>
      <c r="I13" s="19" t="s">
        <v>32</v>
      </c>
      <c r="J13" s="18" t="s">
        <v>20</v>
      </c>
      <c r="K13" s="52" t="s">
        <v>33</v>
      </c>
      <c r="L13" s="20" t="s">
        <v>34</v>
      </c>
      <c r="M13" s="20" t="s">
        <v>35</v>
      </c>
      <c r="N13" s="20" t="s">
        <v>36</v>
      </c>
      <c r="O13" s="20" t="s">
        <v>37</v>
      </c>
    </row>
    <row r="14" s="1" customFormat="1" ht="18" customHeight="1" spans="1:15">
      <c r="A14" s="33">
        <v>43118</v>
      </c>
      <c r="B14" s="16">
        <f>ROUND(G14/(1+E14),2)</f>
        <v>90700</v>
      </c>
      <c r="C14" s="34"/>
      <c r="D14" s="35" t="s">
        <v>38</v>
      </c>
      <c r="E14" s="36"/>
      <c r="F14" s="16">
        <f>ROUND(G14/(1+E14)*E14,2)</f>
        <v>0</v>
      </c>
      <c r="G14" s="24">
        <v>90700</v>
      </c>
      <c r="H14" s="21">
        <v>43145</v>
      </c>
      <c r="I14" s="12">
        <v>90700</v>
      </c>
      <c r="J14" s="51" t="s">
        <v>39</v>
      </c>
      <c r="K14" s="53" t="s">
        <v>40</v>
      </c>
      <c r="L14" s="54" t="s">
        <v>41</v>
      </c>
      <c r="M14" s="55"/>
      <c r="N14" s="55"/>
      <c r="O14" s="54"/>
    </row>
    <row r="15" s="1" customFormat="1" ht="18" customHeight="1" spans="1:15">
      <c r="A15" s="33">
        <v>43118</v>
      </c>
      <c r="B15" s="16">
        <f>ROUND(G15/(1+E15),2)</f>
        <v>914786.41</v>
      </c>
      <c r="C15" s="34">
        <v>10</v>
      </c>
      <c r="D15" s="35" t="s">
        <v>42</v>
      </c>
      <c r="E15" s="36">
        <v>0.03</v>
      </c>
      <c r="F15" s="16">
        <f>ROUND(G15/(1+E15)*E15,2)</f>
        <v>27443.59</v>
      </c>
      <c r="G15" s="24">
        <v>942230</v>
      </c>
      <c r="H15" s="21">
        <v>43145</v>
      </c>
      <c r="I15" s="12">
        <v>631315</v>
      </c>
      <c r="J15" s="51" t="s">
        <v>21</v>
      </c>
      <c r="K15" s="53" t="s">
        <v>43</v>
      </c>
      <c r="L15" s="54" t="s">
        <v>44</v>
      </c>
      <c r="M15" s="55"/>
      <c r="N15" s="55"/>
      <c r="O15" s="54"/>
    </row>
    <row r="16" s="1" customFormat="1" ht="18" customHeight="1" spans="1:15">
      <c r="A16" s="33"/>
      <c r="B16" s="16">
        <f>ROUND(G16/(1+E16),2)</f>
        <v>0</v>
      </c>
      <c r="C16" s="34"/>
      <c r="D16" s="35"/>
      <c r="E16" s="36"/>
      <c r="F16" s="16">
        <f>ROUND(G16/(1+E16)*E16,2)</f>
        <v>0</v>
      </c>
      <c r="G16" s="24"/>
      <c r="H16" s="21">
        <v>43210</v>
      </c>
      <c r="I16" s="12">
        <v>201507</v>
      </c>
      <c r="J16" s="51" t="s">
        <v>21</v>
      </c>
      <c r="K16" s="53" t="s">
        <v>43</v>
      </c>
      <c r="L16" s="54"/>
      <c r="M16" s="55"/>
      <c r="N16" s="55"/>
      <c r="O16" s="54"/>
    </row>
    <row r="17" s="1" customFormat="1" ht="18" customHeight="1" spans="1:15">
      <c r="A17" s="33">
        <v>43800</v>
      </c>
      <c r="B17" s="16">
        <f t="shared" ref="B17:B28" si="4">ROUND(G17/(1+E17),2)</f>
        <v>679611.65</v>
      </c>
      <c r="C17" s="34"/>
      <c r="D17" s="35" t="s">
        <v>42</v>
      </c>
      <c r="E17" s="37">
        <v>0.03</v>
      </c>
      <c r="F17" s="16">
        <f t="shared" ref="F17:F28" si="5">ROUND(G17/(1+E17)*E17,2)</f>
        <v>20388.35</v>
      </c>
      <c r="G17" s="24">
        <f>84480+84480+30540+100100+100100+100100+100100+100100</f>
        <v>700000</v>
      </c>
      <c r="H17" s="21"/>
      <c r="I17" s="12"/>
      <c r="J17" s="51"/>
      <c r="K17" s="53" t="s">
        <v>45</v>
      </c>
      <c r="L17" s="54" t="s">
        <v>46</v>
      </c>
      <c r="M17" s="55" t="s">
        <v>47</v>
      </c>
      <c r="N17" s="55"/>
      <c r="O17" s="54"/>
    </row>
    <row r="18" s="1" customFormat="1" ht="18" customHeight="1" spans="1:15">
      <c r="A18" s="33">
        <v>43800</v>
      </c>
      <c r="B18" s="16">
        <f t="shared" si="4"/>
        <v>291262.14</v>
      </c>
      <c r="C18" s="34"/>
      <c r="D18" s="35" t="s">
        <v>42</v>
      </c>
      <c r="E18" s="37">
        <v>0.03</v>
      </c>
      <c r="F18" s="16">
        <f t="shared" si="5"/>
        <v>8737.86</v>
      </c>
      <c r="G18" s="24">
        <f>20000+100000+72000+8000+100000</f>
        <v>300000</v>
      </c>
      <c r="H18" s="21"/>
      <c r="I18" s="12"/>
      <c r="J18" s="51"/>
      <c r="K18" s="53" t="s">
        <v>45</v>
      </c>
      <c r="L18" s="54" t="s">
        <v>48</v>
      </c>
      <c r="M18" s="55" t="s">
        <v>47</v>
      </c>
      <c r="N18" s="55"/>
      <c r="O18" s="54"/>
    </row>
    <row r="19" s="1" customFormat="1" ht="18" customHeight="1" spans="1:15">
      <c r="A19" s="33"/>
      <c r="B19" s="16">
        <f t="shared" si="4"/>
        <v>0</v>
      </c>
      <c r="C19" s="34"/>
      <c r="D19" s="35"/>
      <c r="E19" s="36"/>
      <c r="F19" s="16">
        <f t="shared" si="5"/>
        <v>0</v>
      </c>
      <c r="G19" s="24"/>
      <c r="H19" s="21"/>
      <c r="I19" s="12"/>
      <c r="J19" s="51"/>
      <c r="K19" s="53"/>
      <c r="L19" s="54"/>
      <c r="M19" s="55"/>
      <c r="N19" s="55"/>
      <c r="O19" s="54"/>
    </row>
    <row r="20" s="1" customFormat="1" ht="18" customHeight="1" spans="1:15">
      <c r="A20" s="33"/>
      <c r="B20" s="16">
        <f t="shared" si="4"/>
        <v>0</v>
      </c>
      <c r="C20" s="34"/>
      <c r="D20" s="35"/>
      <c r="E20" s="36"/>
      <c r="F20" s="16">
        <f t="shared" si="5"/>
        <v>0</v>
      </c>
      <c r="G20" s="24"/>
      <c r="H20" s="21"/>
      <c r="I20" s="12"/>
      <c r="J20" s="51"/>
      <c r="K20" s="53"/>
      <c r="L20" s="54"/>
      <c r="M20" s="55"/>
      <c r="N20" s="55"/>
      <c r="O20" s="54"/>
    </row>
    <row r="21" s="1" customFormat="1" ht="18" customHeight="1" spans="1:15">
      <c r="A21" s="33"/>
      <c r="B21" s="16">
        <f t="shared" si="4"/>
        <v>0</v>
      </c>
      <c r="C21" s="34"/>
      <c r="D21" s="35"/>
      <c r="E21" s="36"/>
      <c r="F21" s="16">
        <f t="shared" si="5"/>
        <v>0</v>
      </c>
      <c r="G21" s="24"/>
      <c r="H21" s="21"/>
      <c r="I21" s="12"/>
      <c r="J21" s="51"/>
      <c r="K21" s="53"/>
      <c r="L21" s="54"/>
      <c r="M21" s="55"/>
      <c r="N21" s="55"/>
      <c r="O21" s="54"/>
    </row>
    <row r="22" s="1" customFormat="1" ht="18" customHeight="1" spans="1:15">
      <c r="A22" s="33"/>
      <c r="B22" s="16">
        <f t="shared" si="4"/>
        <v>0</v>
      </c>
      <c r="C22" s="34"/>
      <c r="D22" s="35"/>
      <c r="E22" s="36"/>
      <c r="F22" s="16">
        <f t="shared" si="5"/>
        <v>0</v>
      </c>
      <c r="G22" s="24"/>
      <c r="H22" s="21"/>
      <c r="I22" s="12"/>
      <c r="J22" s="51"/>
      <c r="K22" s="53"/>
      <c r="L22" s="54"/>
      <c r="M22" s="55"/>
      <c r="N22" s="55"/>
      <c r="O22" s="54"/>
    </row>
    <row r="23" s="1" customFormat="1" ht="18" customHeight="1" spans="1:15">
      <c r="A23" s="33"/>
      <c r="B23" s="16">
        <f t="shared" si="4"/>
        <v>0</v>
      </c>
      <c r="C23" s="34"/>
      <c r="D23" s="35"/>
      <c r="E23" s="36"/>
      <c r="F23" s="16">
        <f t="shared" si="5"/>
        <v>0</v>
      </c>
      <c r="G23" s="24"/>
      <c r="H23" s="21"/>
      <c r="I23" s="12"/>
      <c r="J23" s="51"/>
      <c r="K23" s="53"/>
      <c r="L23" s="54"/>
      <c r="M23" s="55"/>
      <c r="N23" s="55"/>
      <c r="O23" s="54"/>
    </row>
    <row r="24" s="1" customFormat="1" ht="18" customHeight="1" spans="1:15">
      <c r="A24" s="33"/>
      <c r="B24" s="16">
        <f t="shared" si="4"/>
        <v>0</v>
      </c>
      <c r="C24" s="34"/>
      <c r="D24" s="35"/>
      <c r="E24" s="36"/>
      <c r="F24" s="16">
        <f t="shared" si="5"/>
        <v>0</v>
      </c>
      <c r="G24" s="24"/>
      <c r="H24" s="21"/>
      <c r="I24" s="12"/>
      <c r="J24" s="51"/>
      <c r="K24" s="53"/>
      <c r="L24" s="54"/>
      <c r="M24" s="55"/>
      <c r="N24" s="55"/>
      <c r="O24" s="54"/>
    </row>
    <row r="25" s="1" customFormat="1" ht="18" customHeight="1" spans="1:15">
      <c r="A25" s="33"/>
      <c r="B25" s="16">
        <f t="shared" si="4"/>
        <v>0</v>
      </c>
      <c r="C25" s="34"/>
      <c r="D25" s="35"/>
      <c r="E25" s="36"/>
      <c r="F25" s="16">
        <f t="shared" si="5"/>
        <v>0</v>
      </c>
      <c r="G25" s="24"/>
      <c r="H25" s="21"/>
      <c r="I25" s="12">
        <v>20000</v>
      </c>
      <c r="J25" s="51" t="s">
        <v>61</v>
      </c>
      <c r="K25" s="53"/>
      <c r="L25" s="54"/>
      <c r="M25" s="55"/>
      <c r="N25" s="55"/>
      <c r="O25" s="54"/>
    </row>
    <row r="26" s="1" customFormat="1" ht="18" customHeight="1" spans="1:15">
      <c r="A26" s="33"/>
      <c r="B26" s="16">
        <f t="shared" si="4"/>
        <v>0</v>
      </c>
      <c r="C26" s="34"/>
      <c r="D26" s="35"/>
      <c r="E26" s="36"/>
      <c r="F26" s="16">
        <f t="shared" si="5"/>
        <v>0</v>
      </c>
      <c r="G26" s="24"/>
      <c r="H26" s="21"/>
      <c r="I26" s="12">
        <v>61515</v>
      </c>
      <c r="J26" s="51" t="s">
        <v>56</v>
      </c>
      <c r="K26" s="53" t="s">
        <v>63</v>
      </c>
      <c r="L26" s="54"/>
      <c r="M26" s="55"/>
      <c r="N26" s="55"/>
      <c r="O26" s="54"/>
    </row>
    <row r="27" s="1" customFormat="1" ht="18" customHeight="1" spans="1:15">
      <c r="A27" s="33"/>
      <c r="B27" s="16">
        <f t="shared" si="4"/>
        <v>0</v>
      </c>
      <c r="C27" s="34"/>
      <c r="D27" s="35"/>
      <c r="E27" s="36"/>
      <c r="F27" s="16">
        <f t="shared" si="5"/>
        <v>0</v>
      </c>
      <c r="G27" s="24"/>
      <c r="H27" s="21"/>
      <c r="I27" s="12">
        <v>2500</v>
      </c>
      <c r="J27" s="51" t="s">
        <v>56</v>
      </c>
      <c r="K27" s="53" t="s">
        <v>64</v>
      </c>
      <c r="L27" s="54"/>
      <c r="M27" s="55"/>
      <c r="N27" s="55"/>
      <c r="O27" s="54"/>
    </row>
    <row r="28" s="1" customFormat="1" ht="18" customHeight="1" spans="1:15">
      <c r="A28" s="33"/>
      <c r="B28" s="16">
        <f t="shared" si="4"/>
        <v>20563</v>
      </c>
      <c r="C28" s="34"/>
      <c r="D28" s="35"/>
      <c r="E28" s="36"/>
      <c r="F28" s="16">
        <f t="shared" si="5"/>
        <v>0</v>
      </c>
      <c r="G28" s="24">
        <f>16450+4113</f>
        <v>20563</v>
      </c>
      <c r="H28" s="21"/>
      <c r="I28" s="12">
        <f>G28</f>
        <v>20563</v>
      </c>
      <c r="J28" s="51" t="s">
        <v>56</v>
      </c>
      <c r="K28" s="53" t="s">
        <v>84</v>
      </c>
      <c r="L28" s="54"/>
      <c r="M28" s="55"/>
      <c r="N28" s="55"/>
      <c r="O28" s="54"/>
    </row>
    <row r="29" ht="18" customHeight="1" spans="1:15">
      <c r="A29" s="28" t="s">
        <v>24</v>
      </c>
      <c r="B29" s="27">
        <f>SUM(B14:B28)</f>
        <v>1996923.2</v>
      </c>
      <c r="C29" s="28"/>
      <c r="D29" s="38"/>
      <c r="E29" s="38"/>
      <c r="F29" s="30">
        <f>SUM(F14:F28)</f>
        <v>56569.8</v>
      </c>
      <c r="G29" s="39">
        <f>SUM(G14:G28)</f>
        <v>2053493</v>
      </c>
      <c r="H29" s="40"/>
      <c r="I29" s="29">
        <f>SUM(I14:I28)</f>
        <v>1028100</v>
      </c>
      <c r="J29" s="56"/>
      <c r="K29" s="38"/>
      <c r="L29" s="31"/>
      <c r="M29" s="51"/>
      <c r="N29" s="51"/>
      <c r="O29" s="31"/>
    </row>
    <row r="30" ht="18" customHeight="1" spans="1:14">
      <c r="A30" s="41" t="s">
        <v>66</v>
      </c>
      <c r="B30" s="42">
        <f>B11-B29</f>
        <v>-1070634.01081081</v>
      </c>
      <c r="C30" s="41"/>
      <c r="D30" s="43"/>
      <c r="E30" s="43"/>
      <c r="F30" s="42"/>
      <c r="G30" s="42">
        <f>G11-G29</f>
        <v>-1025312</v>
      </c>
      <c r="H30" s="20" t="s">
        <v>67</v>
      </c>
      <c r="I30" s="29">
        <f>I11-I29</f>
        <v>0</v>
      </c>
      <c r="J30" s="6"/>
      <c r="K30" s="57"/>
      <c r="M30" s="58"/>
      <c r="N30" s="58"/>
    </row>
    <row r="31" ht="18" customHeight="1" spans="1:3">
      <c r="A31" s="2" t="s">
        <v>68</v>
      </c>
      <c r="C31" s="2"/>
    </row>
    <row r="32" ht="18" customHeight="1" spans="1:8">
      <c r="A32" s="20" t="s">
        <v>69</v>
      </c>
      <c r="B32" s="19" t="s">
        <v>70</v>
      </c>
      <c r="C32" s="31"/>
      <c r="D32" s="20" t="s">
        <v>69</v>
      </c>
      <c r="E32" s="18" t="s">
        <v>16</v>
      </c>
      <c r="F32" s="19" t="s">
        <v>70</v>
      </c>
      <c r="G32" s="19" t="s">
        <v>63</v>
      </c>
      <c r="H32" s="4" t="s">
        <v>85</v>
      </c>
    </row>
    <row r="33" ht="18" customHeight="1" spans="1:7">
      <c r="A33" s="31" t="s">
        <v>73</v>
      </c>
      <c r="B33" s="16">
        <f>(B11-B29)*0.25</f>
        <v>-267658.502702703</v>
      </c>
      <c r="C33" s="31"/>
      <c r="D33" s="44" t="s">
        <v>74</v>
      </c>
      <c r="E33" s="45" t="s">
        <v>75</v>
      </c>
      <c r="F33" s="30">
        <f>F11-F29</f>
        <v>26796.227027027</v>
      </c>
      <c r="G33" s="12">
        <v>55922.44</v>
      </c>
    </row>
    <row r="34" ht="18" customHeight="1" spans="1:7">
      <c r="A34" s="31" t="s">
        <v>76</v>
      </c>
      <c r="B34" s="46" t="s">
        <v>77</v>
      </c>
      <c r="C34" s="31"/>
      <c r="D34" s="47" t="s">
        <v>78</v>
      </c>
      <c r="E34" s="13">
        <v>0.05</v>
      </c>
      <c r="F34" s="12">
        <f>F33*E34</f>
        <v>1339.81135135135</v>
      </c>
      <c r="G34" s="12">
        <v>2796.12</v>
      </c>
    </row>
    <row r="35" ht="18" customHeight="1" spans="1:7">
      <c r="A35" s="31" t="s">
        <v>79</v>
      </c>
      <c r="B35" s="46" t="s">
        <v>77</v>
      </c>
      <c r="C35" s="31"/>
      <c r="D35" s="47" t="s">
        <v>80</v>
      </c>
      <c r="E35" s="13">
        <v>0.03</v>
      </c>
      <c r="F35" s="12">
        <f>F33*E35</f>
        <v>803.88681081081</v>
      </c>
      <c r="G35" s="12">
        <v>1677.67</v>
      </c>
    </row>
    <row r="36" ht="18" customHeight="1" spans="1:7">
      <c r="A36" s="31"/>
      <c r="B36" s="12"/>
      <c r="C36" s="31"/>
      <c r="D36" s="47" t="s">
        <v>81</v>
      </c>
      <c r="E36" s="13">
        <v>0.02</v>
      </c>
      <c r="F36" s="12">
        <f>F33*E36</f>
        <v>535.92454054054</v>
      </c>
      <c r="G36" s="12">
        <v>1118.45</v>
      </c>
    </row>
    <row r="37" ht="18" customHeight="1" spans="1:7">
      <c r="A37" s="26" t="s">
        <v>82</v>
      </c>
      <c r="B37" s="27">
        <f>SUM(B33:B36)</f>
        <v>-267658.502702703</v>
      </c>
      <c r="C37" s="31"/>
      <c r="D37" s="44" t="s">
        <v>82</v>
      </c>
      <c r="E37" s="44"/>
      <c r="F37" s="30">
        <f>SUM(F33:F36)</f>
        <v>29475.8497297297</v>
      </c>
      <c r="G37" s="30">
        <f>SUM(G33:G36)</f>
        <v>61514.68</v>
      </c>
    </row>
    <row r="38" ht="18" customHeight="1" spans="3:3">
      <c r="C38" s="2"/>
    </row>
    <row r="39" ht="18" customHeight="1" spans="3:3">
      <c r="C39" s="2"/>
    </row>
    <row r="40" ht="18" customHeight="1" spans="3:3">
      <c r="C40" s="2"/>
    </row>
    <row r="41" ht="18" customHeight="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2021-07-08T00:47:53Z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8AF8A0C3E51E44AE9618E9E252EF1010</vt:lpwstr>
  </property>
</Properties>
</file>