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新!$A$15:$Q$71</definedName>
    <definedName name="_xlnm._FilterDatabase" localSheetId="1" hidden="1">旧!$A$14:$Q$65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6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<sst xmlns="http://schemas.openxmlformats.org/spreadsheetml/2006/main" count="365" uniqueCount="97">
  <si>
    <t>C6391   阜南县焦陂镇十三五农村道路畅通工程（撤并建制村路面硬化工程）施工（01标段）</t>
  </si>
  <si>
    <t>中标日期</t>
  </si>
  <si>
    <t>中标价</t>
  </si>
  <si>
    <t>负责人</t>
  </si>
  <si>
    <t>苏光辉</t>
  </si>
  <si>
    <t>建设单位</t>
  </si>
  <si>
    <t>阜南县焦陂镇人民政府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</si>
  <si>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</si>
  <si>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</si>
  <si>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</si>
  <si>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</si>
  <si>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</si>
  <si>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</si>
  <si>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</si>
  <si>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</si>
  <si>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</si>
  <si>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</si>
  <si>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</si>
  <si>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</si>
  <si>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</si>
  <si>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</si>
  <si>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阜南县永旺混凝土有限公司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</si>
  <si>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</si>
  <si>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</si>
  <si>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</si>
  <si>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</si>
  <si>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</si>
  <si>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</si>
  <si>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</si>
  <si>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</si>
  <si>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</si>
  <si>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</si>
  <si>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</si>
  <si>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</si>
  <si>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</si>
  <si>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</si>
  <si>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</si>
  <si>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公司借款260万</t>
  </si>
  <si>
    <t>人工</t>
  </si>
  <si>
    <t>项目部垫付工资</t>
  </si>
  <si>
    <t>安徽成美水泥有限公司</t>
  </si>
  <si>
    <t>水泥</t>
  </si>
  <si>
    <t>2017-8-</t>
  </si>
  <si>
    <t>徽行</t>
  </si>
  <si>
    <t>卞林兴</t>
  </si>
  <si>
    <t>2017-9-</t>
  </si>
  <si>
    <t>项目周转金</t>
  </si>
  <si>
    <t>2017-10-</t>
  </si>
  <si>
    <t>2018-1-</t>
  </si>
  <si>
    <t>混凝土</t>
  </si>
  <si>
    <t>2018-5-</t>
  </si>
  <si>
    <t>借款付</t>
  </si>
  <si>
    <t>淮南亦木商贸有限公司</t>
  </si>
  <si>
    <t>2018-6-</t>
  </si>
  <si>
    <t>2018-7-</t>
  </si>
  <si>
    <t>支付表有</t>
  </si>
  <si>
    <t>2018-8-</t>
  </si>
  <si>
    <t>刘效峰</t>
  </si>
  <si>
    <t>工程票材料</t>
  </si>
  <si>
    <t>世行项目调 2018.10.148#</t>
  </si>
  <si>
    <t>2018-9-</t>
  </si>
  <si>
    <t>5次</t>
  </si>
  <si>
    <t>预留</t>
  </si>
  <si>
    <t>1%损失准备金</t>
  </si>
  <si>
    <t>扣</t>
  </si>
  <si>
    <t>管理费</t>
  </si>
  <si>
    <t>4次扣</t>
  </si>
  <si>
    <t>税金</t>
  </si>
  <si>
    <t>3次扣</t>
  </si>
  <si>
    <t>退</t>
  </si>
  <si>
    <t>企税</t>
  </si>
  <si>
    <t>代办费</t>
  </si>
  <si>
    <t>2次扣</t>
  </si>
  <si>
    <t>暂扣</t>
  </si>
  <si>
    <t>税费</t>
  </si>
  <si>
    <t>1次扣</t>
  </si>
  <si>
    <t>尚需提供成本</t>
  </si>
  <si>
    <t>可支付金额</t>
  </si>
  <si>
    <t>公司代缴税金：</t>
  </si>
  <si>
    <t xml:space="preserve"> </t>
  </si>
  <si>
    <t>税种</t>
  </si>
  <si>
    <t>税额</t>
  </si>
  <si>
    <t>18.8月开票扣税</t>
  </si>
  <si>
    <t>18.12月开票扣税</t>
  </si>
  <si>
    <t>19.6月开票扣税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</si>
  <si>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</si>
  <si>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</si>
  <si>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</si>
  <si>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</si>
  <si>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</si>
  <si>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</si>
  <si>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</si>
  <si>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</si>
  <si>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</si>
  <si>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</si>
  <si>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阜南县焦陂镇十三五农村道路畅通工程（撤并建制村路面硬化工程）施工（01标段）</t>
  </si>
  <si>
    <t>18-7-</t>
  </si>
</sst>
</file>

<file path=xl/styles.xml><?xml version="1.0" encoding="utf-8"?>
<styleSheet xmlns="http://schemas.openxmlformats.org/spreadsheetml/2006/main">
  <numFmts count="9"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8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6" fillId="5" borderId="2" xfId="1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6" borderId="2" xfId="0" applyNumberFormat="1" applyFont="1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2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4" fillId="0" borderId="0" xfId="0" applyNumberFormat="1" applyFont="1"/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9" fontId="6" fillId="5" borderId="2" xfId="11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8" fontId="2" fillId="4" borderId="2" xfId="0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178" fontId="1" fillId="6" borderId="2" xfId="0" applyNumberFormat="1" applyFont="1" applyFill="1" applyBorder="1" applyAlignment="1">
      <alignment vertical="center"/>
    </xf>
    <xf numFmtId="178" fontId="1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9" fontId="1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tabSelected="1" topLeftCell="A40" workbookViewId="0">
      <selection activeCell="F47" sqref="F47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5.25" style="6" customWidth="1"/>
    <col min="13" max="13" width="25.875" style="6" customWidth="1"/>
    <col min="14" max="14" width="5.66666666666667" style="6" customWidth="1"/>
    <col min="15" max="15" width="9" style="6"/>
    <col min="16" max="16" width="18.75" style="6" customWidth="1"/>
    <col min="17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42752</v>
      </c>
      <c r="C2" s="11" t="s">
        <v>2</v>
      </c>
      <c r="D2" s="69">
        <v>5339508.11</v>
      </c>
      <c r="E2" s="13" t="s">
        <v>3</v>
      </c>
      <c r="F2" s="11" t="s">
        <v>4</v>
      </c>
      <c r="G2" s="14" t="s">
        <v>5</v>
      </c>
      <c r="H2" s="15" t="s">
        <v>6</v>
      </c>
      <c r="I2" s="54"/>
      <c r="J2" s="55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4615782.82</v>
      </c>
      <c r="H3" s="17"/>
      <c r="I3" s="56"/>
      <c r="J3" s="17"/>
      <c r="K3" s="17"/>
      <c r="L3" s="17"/>
    </row>
    <row r="4" ht="18" customHeight="1" spans="1:12">
      <c r="A4" s="2" t="s">
        <v>9</v>
      </c>
      <c r="H4" s="17"/>
      <c r="I4" s="56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2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  <c r="K6" s="57" t="s">
        <v>21</v>
      </c>
      <c r="L6" s="6">
        <f>I32+I33+I35+I37+I39-G31-G36</f>
        <v>1801495.22</v>
      </c>
    </row>
    <row r="7" ht="18" customHeight="1" spans="1:10">
      <c r="A7" s="21">
        <v>43321</v>
      </c>
      <c r="B7" s="11">
        <f t="shared" ref="B7:B12" si="0">G7/(1+C7+E7)</f>
        <v>522522.522522522</v>
      </c>
      <c r="C7" s="23">
        <v>0.02</v>
      </c>
      <c r="D7" s="70">
        <f t="shared" ref="D7:D12" si="1">G7/(1+E7+C7)*C7</f>
        <v>10450.4504504504</v>
      </c>
      <c r="E7" s="23">
        <v>0.09</v>
      </c>
      <c r="F7" s="11">
        <f t="shared" ref="F7:F12" si="2">G7/(1+C7+E7)*E7</f>
        <v>47027.027027027</v>
      </c>
      <c r="G7" s="71">
        <v>580000</v>
      </c>
      <c r="H7" s="21">
        <v>42991</v>
      </c>
      <c r="I7" s="11">
        <v>580000</v>
      </c>
      <c r="J7" s="50" t="s">
        <v>22</v>
      </c>
    </row>
    <row r="8" ht="18" customHeight="1" spans="1:10">
      <c r="A8" s="21">
        <v>43454</v>
      </c>
      <c r="B8" s="11">
        <f t="shared" si="0"/>
        <v>576576.576576577</v>
      </c>
      <c r="C8" s="23">
        <v>0.02</v>
      </c>
      <c r="D8" s="70">
        <f t="shared" si="1"/>
        <v>11531.5315315315</v>
      </c>
      <c r="E8" s="23">
        <v>0.09</v>
      </c>
      <c r="F8" s="11">
        <f t="shared" si="2"/>
        <v>51891.8918918919</v>
      </c>
      <c r="G8" s="71">
        <v>640000</v>
      </c>
      <c r="H8" s="21">
        <v>43096</v>
      </c>
      <c r="I8" s="11">
        <v>640000</v>
      </c>
      <c r="J8" s="50" t="s">
        <v>22</v>
      </c>
    </row>
    <row r="9" ht="18" customHeight="1" spans="1:10">
      <c r="A9" s="21">
        <v>43642</v>
      </c>
      <c r="B9" s="11">
        <f t="shared" si="0"/>
        <v>430000</v>
      </c>
      <c r="C9" s="23">
        <v>0.02</v>
      </c>
      <c r="D9" s="70">
        <f t="shared" si="1"/>
        <v>8600</v>
      </c>
      <c r="E9" s="23">
        <v>0.08</v>
      </c>
      <c r="F9" s="11">
        <f t="shared" si="2"/>
        <v>34400</v>
      </c>
      <c r="G9" s="71">
        <v>473000</v>
      </c>
      <c r="H9" s="21">
        <v>43283</v>
      </c>
      <c r="I9" s="11">
        <v>473000</v>
      </c>
      <c r="J9" s="50" t="s">
        <v>22</v>
      </c>
    </row>
    <row r="10" ht="18" customHeight="1" spans="1:10">
      <c r="A10" s="21">
        <v>43654</v>
      </c>
      <c r="B10" s="11">
        <f t="shared" si="0"/>
        <v>162727.272727273</v>
      </c>
      <c r="C10" s="26">
        <v>0.02</v>
      </c>
      <c r="D10" s="70">
        <f t="shared" si="1"/>
        <v>3254.54545454545</v>
      </c>
      <c r="E10" s="26">
        <v>0.08</v>
      </c>
      <c r="F10" s="11">
        <f t="shared" si="2"/>
        <v>13018.1818181818</v>
      </c>
      <c r="G10" s="71">
        <v>179000</v>
      </c>
      <c r="H10" s="21">
        <v>43747</v>
      </c>
      <c r="I10" s="11">
        <v>900000</v>
      </c>
      <c r="J10" s="50" t="s">
        <v>22</v>
      </c>
    </row>
    <row r="11" ht="18" customHeight="1" spans="1:10">
      <c r="A11" s="21">
        <v>43658</v>
      </c>
      <c r="B11" s="11">
        <f t="shared" si="0"/>
        <v>1477981.65137615</v>
      </c>
      <c r="C11" s="26">
        <v>0.02</v>
      </c>
      <c r="D11" s="70">
        <f t="shared" si="1"/>
        <v>29559.6330275229</v>
      </c>
      <c r="E11" s="26">
        <v>0.07</v>
      </c>
      <c r="F11" s="11">
        <f t="shared" si="2"/>
        <v>103458.71559633</v>
      </c>
      <c r="G11" s="71">
        <v>1611000</v>
      </c>
      <c r="H11" s="21">
        <v>43853</v>
      </c>
      <c r="I11" s="11">
        <v>890000</v>
      </c>
      <c r="J11" s="50" t="s">
        <v>22</v>
      </c>
    </row>
    <row r="12" ht="18" customHeight="1" spans="1:10">
      <c r="A12" s="21"/>
      <c r="B12" s="11">
        <f t="shared" si="0"/>
        <v>0</v>
      </c>
      <c r="C12" s="26">
        <v>0.02</v>
      </c>
      <c r="D12" s="70">
        <f t="shared" si="1"/>
        <v>0</v>
      </c>
      <c r="E12" s="26">
        <v>0.07</v>
      </c>
      <c r="F12" s="11">
        <f t="shared" si="2"/>
        <v>0</v>
      </c>
      <c r="G12" s="71"/>
      <c r="H12" s="21"/>
      <c r="I12" s="11"/>
      <c r="J12" s="50"/>
    </row>
    <row r="13" ht="18" customHeight="1" spans="1:10">
      <c r="A13" s="27" t="s">
        <v>23</v>
      </c>
      <c r="B13" s="72">
        <f>SUM(B7:B12)</f>
        <v>3169808.02320252</v>
      </c>
      <c r="C13" s="29"/>
      <c r="D13" s="29">
        <f>SUM(D7:D9)</f>
        <v>30581.9819819819</v>
      </c>
      <c r="E13" s="29"/>
      <c r="F13" s="73">
        <f>SUM(F7:F9)</f>
        <v>133318.918918919</v>
      </c>
      <c r="G13" s="29">
        <f>SUM(G7:G12)</f>
        <v>3483000</v>
      </c>
      <c r="H13" s="32"/>
      <c r="I13" s="29">
        <f>SUM(I7:I12)</f>
        <v>3483000</v>
      </c>
      <c r="J13" s="32"/>
    </row>
    <row r="14" ht="18" customHeight="1" spans="1:12">
      <c r="A14" s="2" t="s">
        <v>24</v>
      </c>
      <c r="J14" s="4"/>
      <c r="K14" s="4"/>
      <c r="L14" s="5"/>
    </row>
    <row r="15" ht="18" customHeight="1" spans="1:16">
      <c r="A15" s="33" t="s">
        <v>25</v>
      </c>
      <c r="B15" s="19" t="s">
        <v>26</v>
      </c>
      <c r="C15" s="18" t="s">
        <v>27</v>
      </c>
      <c r="D15" s="18" t="s">
        <v>28</v>
      </c>
      <c r="E15" s="18" t="s">
        <v>16</v>
      </c>
      <c r="F15" s="19" t="s">
        <v>29</v>
      </c>
      <c r="G15" s="19" t="s">
        <v>14</v>
      </c>
      <c r="H15" s="18" t="s">
        <v>30</v>
      </c>
      <c r="I15" s="19" t="s">
        <v>31</v>
      </c>
      <c r="J15" s="18" t="s">
        <v>20</v>
      </c>
      <c r="K15" s="59" t="s">
        <v>32</v>
      </c>
      <c r="L15" s="20" t="s">
        <v>33</v>
      </c>
      <c r="M15" s="20" t="s">
        <v>34</v>
      </c>
      <c r="N15" s="20" t="s">
        <v>35</v>
      </c>
      <c r="O15" s="20" t="s">
        <v>36</v>
      </c>
      <c r="P15" s="82" t="s">
        <v>37</v>
      </c>
    </row>
    <row r="16" s="1" customFormat="1" ht="18" customHeight="1" spans="1:15">
      <c r="A16" s="34">
        <v>42887</v>
      </c>
      <c r="B16" s="74">
        <f t="shared" ref="B16:B39" si="3">ROUND(G16/(1+E16),2)</f>
        <v>346200</v>
      </c>
      <c r="C16" s="35"/>
      <c r="D16" s="36"/>
      <c r="E16" s="37"/>
      <c r="F16" s="74">
        <f t="shared" ref="F16:F39" si="4">ROUND(G16/(1+E16)*E16,2)</f>
        <v>0</v>
      </c>
      <c r="G16" s="71">
        <v>346200</v>
      </c>
      <c r="H16" s="21"/>
      <c r="I16" s="11"/>
      <c r="J16" s="50"/>
      <c r="K16" s="57"/>
      <c r="L16" s="60" t="s">
        <v>38</v>
      </c>
      <c r="M16" s="61"/>
      <c r="N16" s="61"/>
      <c r="O16" s="60" t="s">
        <v>39</v>
      </c>
    </row>
    <row r="17" s="1" customFormat="1" ht="18" customHeight="1" spans="1:15">
      <c r="A17" s="34">
        <v>42948</v>
      </c>
      <c r="B17" s="74">
        <f t="shared" si="3"/>
        <v>171111.11</v>
      </c>
      <c r="C17" s="35"/>
      <c r="D17" s="36"/>
      <c r="E17" s="37">
        <v>0.17</v>
      </c>
      <c r="F17" s="74">
        <f t="shared" si="4"/>
        <v>29088.89</v>
      </c>
      <c r="G17" s="71">
        <v>200200</v>
      </c>
      <c r="H17" s="21"/>
      <c r="I17" s="74"/>
      <c r="J17" s="50"/>
      <c r="K17" s="57" t="s">
        <v>40</v>
      </c>
      <c r="L17" s="60" t="s">
        <v>41</v>
      </c>
      <c r="M17" s="61"/>
      <c r="N17" s="61"/>
      <c r="O17" s="60"/>
    </row>
    <row r="18" s="1" customFormat="1" ht="18" customHeight="1" spans="1:15">
      <c r="A18" s="34"/>
      <c r="B18" s="74">
        <f t="shared" si="3"/>
        <v>0</v>
      </c>
      <c r="C18" s="35"/>
      <c r="D18" s="36"/>
      <c r="E18" s="37"/>
      <c r="F18" s="74">
        <f t="shared" si="4"/>
        <v>0</v>
      </c>
      <c r="G18" s="71"/>
      <c r="H18" s="21" t="s">
        <v>42</v>
      </c>
      <c r="I18" s="74">
        <v>-100000</v>
      </c>
      <c r="J18" s="50" t="s">
        <v>43</v>
      </c>
      <c r="K18" s="57" t="s">
        <v>44</v>
      </c>
      <c r="L18" s="60"/>
      <c r="M18" s="61"/>
      <c r="N18" s="61"/>
      <c r="O18" s="60"/>
    </row>
    <row r="19" s="1" customFormat="1" ht="18" customHeight="1" spans="1:15">
      <c r="A19" s="34"/>
      <c r="B19" s="74">
        <f t="shared" si="3"/>
        <v>0</v>
      </c>
      <c r="C19" s="35"/>
      <c r="D19" s="36"/>
      <c r="E19" s="37"/>
      <c r="F19" s="74">
        <f t="shared" si="4"/>
        <v>0</v>
      </c>
      <c r="G19" s="71"/>
      <c r="H19" s="21" t="s">
        <v>42</v>
      </c>
      <c r="I19" s="74">
        <v>100000</v>
      </c>
      <c r="J19" s="50" t="s">
        <v>22</v>
      </c>
      <c r="K19" s="57" t="s">
        <v>40</v>
      </c>
      <c r="L19" s="60"/>
      <c r="M19" s="61"/>
      <c r="N19" s="61"/>
      <c r="O19" s="60"/>
    </row>
    <row r="20" s="1" customFormat="1" ht="18" customHeight="1" spans="1:15">
      <c r="A20" s="34"/>
      <c r="B20" s="74">
        <f t="shared" si="3"/>
        <v>0</v>
      </c>
      <c r="C20" s="35"/>
      <c r="D20" s="36"/>
      <c r="E20" s="37"/>
      <c r="F20" s="74">
        <f t="shared" si="4"/>
        <v>0</v>
      </c>
      <c r="G20" s="71"/>
      <c r="H20" s="21" t="s">
        <v>42</v>
      </c>
      <c r="I20" s="74">
        <v>-100000</v>
      </c>
      <c r="J20" s="50" t="s">
        <v>43</v>
      </c>
      <c r="K20" s="57" t="s">
        <v>44</v>
      </c>
      <c r="L20" s="60"/>
      <c r="M20" s="61"/>
      <c r="N20" s="61"/>
      <c r="O20" s="60"/>
    </row>
    <row r="21" s="1" customFormat="1" ht="18" customHeight="1" spans="1:15">
      <c r="A21" s="34"/>
      <c r="B21" s="74">
        <f t="shared" si="3"/>
        <v>0</v>
      </c>
      <c r="C21" s="35"/>
      <c r="D21" s="36"/>
      <c r="E21" s="37"/>
      <c r="F21" s="74">
        <f t="shared" si="4"/>
        <v>0</v>
      </c>
      <c r="G21" s="71"/>
      <c r="H21" s="21" t="s">
        <v>42</v>
      </c>
      <c r="I21" s="74">
        <v>100000</v>
      </c>
      <c r="J21" s="50" t="s">
        <v>22</v>
      </c>
      <c r="K21" s="57" t="s">
        <v>40</v>
      </c>
      <c r="L21" s="60"/>
      <c r="M21" s="61"/>
      <c r="N21" s="61"/>
      <c r="O21" s="60"/>
    </row>
    <row r="22" s="1" customFormat="1" ht="18" customHeight="1" spans="1:15">
      <c r="A22" s="34"/>
      <c r="B22" s="74">
        <f t="shared" si="3"/>
        <v>0</v>
      </c>
      <c r="C22" s="35"/>
      <c r="D22" s="36"/>
      <c r="E22" s="37"/>
      <c r="F22" s="74">
        <f t="shared" si="4"/>
        <v>0</v>
      </c>
      <c r="G22" s="71"/>
      <c r="H22" s="21" t="s">
        <v>45</v>
      </c>
      <c r="I22" s="74">
        <v>365068.05</v>
      </c>
      <c r="J22" s="50" t="s">
        <v>43</v>
      </c>
      <c r="K22" s="57" t="s">
        <v>44</v>
      </c>
      <c r="L22" s="60"/>
      <c r="M22" s="61"/>
      <c r="N22" s="61"/>
      <c r="O22" s="60" t="s">
        <v>46</v>
      </c>
    </row>
    <row r="23" s="1" customFormat="1" ht="18" customHeight="1" spans="1:15">
      <c r="A23" s="34"/>
      <c r="B23" s="74">
        <f t="shared" si="3"/>
        <v>0</v>
      </c>
      <c r="C23" s="35"/>
      <c r="D23" s="36"/>
      <c r="E23" s="37"/>
      <c r="F23" s="74">
        <f t="shared" si="4"/>
        <v>0</v>
      </c>
      <c r="G23" s="71"/>
      <c r="H23" s="21" t="s">
        <v>45</v>
      </c>
      <c r="I23" s="74">
        <v>100000</v>
      </c>
      <c r="J23" s="50" t="s">
        <v>22</v>
      </c>
      <c r="K23" s="57" t="s">
        <v>40</v>
      </c>
      <c r="L23" s="60"/>
      <c r="M23" s="61"/>
      <c r="N23" s="61"/>
      <c r="O23" s="60"/>
    </row>
    <row r="24" s="1" customFormat="1" ht="18" customHeight="1" spans="1:15">
      <c r="A24" s="34">
        <v>42979</v>
      </c>
      <c r="B24" s="74">
        <f t="shared" si="3"/>
        <v>85384.62</v>
      </c>
      <c r="C24" s="35"/>
      <c r="D24" s="36"/>
      <c r="E24" s="37">
        <v>0.17</v>
      </c>
      <c r="F24" s="74">
        <f t="shared" si="4"/>
        <v>14515.38</v>
      </c>
      <c r="G24" s="71">
        <v>99900</v>
      </c>
      <c r="H24" s="21"/>
      <c r="I24" s="74"/>
      <c r="J24" s="50"/>
      <c r="K24" s="57" t="s">
        <v>40</v>
      </c>
      <c r="L24" s="60" t="s">
        <v>41</v>
      </c>
      <c r="M24" s="61"/>
      <c r="N24" s="61"/>
      <c r="O24" s="60"/>
    </row>
    <row r="25" s="1" customFormat="1" ht="18" customHeight="1" spans="1:15">
      <c r="A25" s="34"/>
      <c r="B25" s="74">
        <f t="shared" si="3"/>
        <v>0</v>
      </c>
      <c r="C25" s="35"/>
      <c r="D25" s="36"/>
      <c r="E25" s="37"/>
      <c r="F25" s="74">
        <f t="shared" si="4"/>
        <v>0</v>
      </c>
      <c r="G25" s="71"/>
      <c r="H25" s="21" t="s">
        <v>47</v>
      </c>
      <c r="I25" s="74">
        <v>-100000</v>
      </c>
      <c r="J25" s="50" t="s">
        <v>43</v>
      </c>
      <c r="K25" s="57" t="s">
        <v>44</v>
      </c>
      <c r="L25" s="60"/>
      <c r="M25" s="61"/>
      <c r="N25" s="61"/>
      <c r="O25" s="60"/>
    </row>
    <row r="26" s="1" customFormat="1" ht="18" customHeight="1" spans="1:15">
      <c r="A26" s="34"/>
      <c r="B26" s="74">
        <f t="shared" si="3"/>
        <v>0</v>
      </c>
      <c r="C26" s="35"/>
      <c r="D26" s="36"/>
      <c r="E26" s="37"/>
      <c r="F26" s="74">
        <f t="shared" si="4"/>
        <v>0</v>
      </c>
      <c r="G26" s="71"/>
      <c r="H26" s="21" t="s">
        <v>47</v>
      </c>
      <c r="I26" s="74">
        <v>-50000</v>
      </c>
      <c r="J26" s="50" t="s">
        <v>43</v>
      </c>
      <c r="K26" s="57" t="s">
        <v>44</v>
      </c>
      <c r="L26" s="60"/>
      <c r="M26" s="61"/>
      <c r="N26" s="61"/>
      <c r="O26" s="60"/>
    </row>
    <row r="27" s="1" customFormat="1" ht="18" customHeight="1" spans="1:15">
      <c r="A27" s="34"/>
      <c r="B27" s="74">
        <f t="shared" si="3"/>
        <v>0</v>
      </c>
      <c r="C27" s="35"/>
      <c r="D27" s="36"/>
      <c r="E27" s="37"/>
      <c r="F27" s="74">
        <f t="shared" si="4"/>
        <v>0</v>
      </c>
      <c r="G27" s="71"/>
      <c r="H27" s="21" t="s">
        <v>47</v>
      </c>
      <c r="I27" s="74">
        <v>100000</v>
      </c>
      <c r="J27" s="50" t="s">
        <v>22</v>
      </c>
      <c r="K27" s="57" t="s">
        <v>40</v>
      </c>
      <c r="L27" s="60"/>
      <c r="M27" s="61"/>
      <c r="N27" s="61"/>
      <c r="O27" s="60"/>
    </row>
    <row r="28" s="1" customFormat="1" ht="18" customHeight="1" spans="1:15">
      <c r="A28" s="34"/>
      <c r="B28" s="74">
        <f t="shared" si="3"/>
        <v>0</v>
      </c>
      <c r="C28" s="35"/>
      <c r="D28" s="36"/>
      <c r="E28" s="37"/>
      <c r="F28" s="74">
        <f t="shared" si="4"/>
        <v>0</v>
      </c>
      <c r="G28" s="71"/>
      <c r="H28" s="21" t="s">
        <v>47</v>
      </c>
      <c r="I28" s="74">
        <v>50000</v>
      </c>
      <c r="J28" s="50" t="s">
        <v>22</v>
      </c>
      <c r="K28" s="57" t="s">
        <v>40</v>
      </c>
      <c r="L28" s="60"/>
      <c r="M28" s="61"/>
      <c r="N28" s="61"/>
      <c r="O28" s="60"/>
    </row>
    <row r="29" s="1" customFormat="1" ht="18" customHeight="1" spans="1:15">
      <c r="A29" s="34">
        <v>43009</v>
      </c>
      <c r="B29" s="74">
        <f t="shared" si="3"/>
        <v>128098.29</v>
      </c>
      <c r="C29" s="35"/>
      <c r="D29" s="36"/>
      <c r="E29" s="37">
        <v>0.17</v>
      </c>
      <c r="F29" s="74">
        <f t="shared" si="4"/>
        <v>21776.71</v>
      </c>
      <c r="G29" s="71">
        <v>149875</v>
      </c>
      <c r="H29" s="21"/>
      <c r="I29" s="74"/>
      <c r="J29" s="50"/>
      <c r="K29" s="5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34"/>
      <c r="B30" s="74">
        <f t="shared" si="3"/>
        <v>0</v>
      </c>
      <c r="C30" s="35"/>
      <c r="D30" s="36"/>
      <c r="E30" s="37"/>
      <c r="F30" s="74">
        <f t="shared" si="4"/>
        <v>0</v>
      </c>
      <c r="G30" s="71"/>
      <c r="H30" s="21" t="s">
        <v>48</v>
      </c>
      <c r="I30" s="74">
        <v>350000</v>
      </c>
      <c r="J30" s="50" t="s">
        <v>43</v>
      </c>
      <c r="K30" s="57" t="s">
        <v>44</v>
      </c>
      <c r="L30" s="60"/>
      <c r="M30" s="61"/>
      <c r="N30" s="61"/>
      <c r="O30" s="60"/>
    </row>
    <row r="31" s="1" customFormat="1" ht="18" customHeight="1" spans="1:15">
      <c r="A31" s="34">
        <v>43101</v>
      </c>
      <c r="B31" s="74">
        <f t="shared" si="3"/>
        <v>330097.09</v>
      </c>
      <c r="C31" s="35"/>
      <c r="D31" s="36"/>
      <c r="E31" s="37">
        <v>0.03</v>
      </c>
      <c r="F31" s="74">
        <f t="shared" si="4"/>
        <v>9902.91</v>
      </c>
      <c r="G31" s="71">
        <v>340000</v>
      </c>
      <c r="H31" s="21"/>
      <c r="I31" s="74"/>
      <c r="J31" s="50"/>
      <c r="K31" s="57" t="s">
        <v>21</v>
      </c>
      <c r="L31" s="60" t="s">
        <v>49</v>
      </c>
      <c r="M31" s="61"/>
      <c r="N31" s="61"/>
      <c r="O31" s="60"/>
    </row>
    <row r="32" s="1" customFormat="1" ht="18" customHeight="1" spans="1:15">
      <c r="A32" s="34"/>
      <c r="B32" s="74">
        <f t="shared" si="3"/>
        <v>0</v>
      </c>
      <c r="C32" s="35"/>
      <c r="D32" s="36"/>
      <c r="E32" s="37"/>
      <c r="F32" s="74">
        <f t="shared" si="4"/>
        <v>0</v>
      </c>
      <c r="G32" s="71"/>
      <c r="H32" s="21" t="s">
        <v>48</v>
      </c>
      <c r="I32" s="74">
        <v>334840.22</v>
      </c>
      <c r="J32" s="50" t="s">
        <v>22</v>
      </c>
      <c r="K32" s="57" t="s">
        <v>21</v>
      </c>
      <c r="L32" s="60"/>
      <c r="M32" s="61"/>
      <c r="N32" s="61"/>
      <c r="O32" s="60"/>
    </row>
    <row r="33" s="1" customFormat="1" ht="18" customHeight="1" spans="1:15">
      <c r="A33" s="34"/>
      <c r="B33" s="74">
        <f t="shared" si="3"/>
        <v>0</v>
      </c>
      <c r="C33" s="35"/>
      <c r="D33" s="36"/>
      <c r="E33" s="37"/>
      <c r="F33" s="74">
        <f t="shared" si="4"/>
        <v>0</v>
      </c>
      <c r="G33" s="71"/>
      <c r="H33" s="21" t="s">
        <v>50</v>
      </c>
      <c r="I33" s="83">
        <v>700000</v>
      </c>
      <c r="J33" s="63" t="s">
        <v>22</v>
      </c>
      <c r="K33" s="58" t="s">
        <v>21</v>
      </c>
      <c r="L33" s="60" t="s">
        <v>51</v>
      </c>
      <c r="M33" s="61"/>
      <c r="N33" s="61"/>
      <c r="O33" s="60"/>
    </row>
    <row r="34" s="1" customFormat="1" ht="18" customHeight="1" spans="1:15">
      <c r="A34" s="34"/>
      <c r="B34" s="74">
        <f t="shared" si="3"/>
        <v>0</v>
      </c>
      <c r="C34" s="35"/>
      <c r="D34" s="36"/>
      <c r="E34" s="37"/>
      <c r="F34" s="74">
        <f t="shared" si="4"/>
        <v>0</v>
      </c>
      <c r="G34" s="71"/>
      <c r="H34" s="21" t="s">
        <v>50</v>
      </c>
      <c r="I34" s="83">
        <v>300000</v>
      </c>
      <c r="J34" s="63" t="s">
        <v>22</v>
      </c>
      <c r="K34" s="58" t="s">
        <v>52</v>
      </c>
      <c r="L34" s="60" t="s">
        <v>51</v>
      </c>
      <c r="M34" s="61"/>
      <c r="N34" s="61"/>
      <c r="O34" s="60"/>
    </row>
    <row r="35" s="1" customFormat="1" ht="18" customHeight="1" spans="1:15">
      <c r="A35" s="34"/>
      <c r="B35" s="74">
        <f t="shared" si="3"/>
        <v>0</v>
      </c>
      <c r="C35" s="35"/>
      <c r="D35" s="36"/>
      <c r="E35" s="37"/>
      <c r="F35" s="74">
        <f t="shared" si="4"/>
        <v>0</v>
      </c>
      <c r="G35" s="71"/>
      <c r="H35" s="21" t="s">
        <v>53</v>
      </c>
      <c r="I35" s="83">
        <v>1000000</v>
      </c>
      <c r="J35" s="63" t="s">
        <v>22</v>
      </c>
      <c r="K35" s="58" t="s">
        <v>21</v>
      </c>
      <c r="L35" s="60" t="s">
        <v>51</v>
      </c>
      <c r="M35" s="61"/>
      <c r="N35" s="61"/>
      <c r="O35" s="60"/>
    </row>
    <row r="36" s="1" customFormat="1" ht="18" customHeight="1" spans="1:15">
      <c r="A36" s="34">
        <v>43252</v>
      </c>
      <c r="B36" s="74">
        <f t="shared" si="3"/>
        <v>679611.65</v>
      </c>
      <c r="C36" s="35"/>
      <c r="D36" s="36"/>
      <c r="E36" s="37">
        <v>0.03</v>
      </c>
      <c r="F36" s="74">
        <f t="shared" si="4"/>
        <v>20388.35</v>
      </c>
      <c r="G36" s="71">
        <v>700000</v>
      </c>
      <c r="H36" s="21"/>
      <c r="I36" s="74"/>
      <c r="J36" s="50"/>
      <c r="K36" s="57" t="s">
        <v>21</v>
      </c>
      <c r="L36" s="60"/>
      <c r="M36" s="61"/>
      <c r="N36" s="61"/>
      <c r="O36" s="60"/>
    </row>
    <row r="37" s="1" customFormat="1" ht="18" customHeight="1" spans="1:15">
      <c r="A37" s="34"/>
      <c r="B37" s="74">
        <f t="shared" si="3"/>
        <v>0</v>
      </c>
      <c r="C37" s="35"/>
      <c r="D37" s="36"/>
      <c r="E37" s="37"/>
      <c r="F37" s="74">
        <f t="shared" si="4"/>
        <v>0</v>
      </c>
      <c r="G37" s="71"/>
      <c r="H37" s="21" t="s">
        <v>54</v>
      </c>
      <c r="I37" s="74">
        <v>306655</v>
      </c>
      <c r="J37" s="50" t="s">
        <v>22</v>
      </c>
      <c r="K37" s="57" t="s">
        <v>21</v>
      </c>
      <c r="L37" s="60"/>
      <c r="M37" s="61"/>
      <c r="N37" s="61"/>
      <c r="O37" s="60"/>
    </row>
    <row r="38" s="1" customFormat="1" ht="18" customHeight="1" spans="1:15">
      <c r="A38" s="34"/>
      <c r="B38" s="74"/>
      <c r="C38" s="35"/>
      <c r="D38" s="36"/>
      <c r="E38" s="37"/>
      <c r="F38" s="74"/>
      <c r="G38" s="71"/>
      <c r="H38" s="75">
        <v>43650</v>
      </c>
      <c r="I38" s="84">
        <v>100000</v>
      </c>
      <c r="J38" s="85"/>
      <c r="K38" s="86"/>
      <c r="L38" s="87" t="s">
        <v>51</v>
      </c>
      <c r="M38" s="61"/>
      <c r="N38" s="61"/>
      <c r="O38" s="60" t="s">
        <v>55</v>
      </c>
    </row>
    <row r="39" s="1" customFormat="1" ht="18" customHeight="1" spans="1:15">
      <c r="A39" s="34"/>
      <c r="B39" s="74">
        <f>ROUND(G39/(1+E39),2)</f>
        <v>0</v>
      </c>
      <c r="C39" s="35"/>
      <c r="D39" s="36"/>
      <c r="E39" s="37"/>
      <c r="F39" s="74">
        <f>ROUND(G39/(1+E39)*E39,2)</f>
        <v>0</v>
      </c>
      <c r="G39" s="71"/>
      <c r="H39" s="21" t="s">
        <v>56</v>
      </c>
      <c r="I39" s="83">
        <v>500000</v>
      </c>
      <c r="J39" s="63" t="s">
        <v>22</v>
      </c>
      <c r="K39" s="58" t="s">
        <v>21</v>
      </c>
      <c r="L39" s="60" t="s">
        <v>51</v>
      </c>
      <c r="M39" s="61"/>
      <c r="N39" s="61"/>
      <c r="O39" s="60"/>
    </row>
    <row r="40" s="1" customFormat="1" ht="18" customHeight="1" spans="1:15">
      <c r="A40" s="34">
        <v>43313</v>
      </c>
      <c r="B40" s="74">
        <f>ROUND(G40/(1+E40),2)</f>
        <v>150000</v>
      </c>
      <c r="C40" s="35"/>
      <c r="D40" s="36"/>
      <c r="E40" s="37"/>
      <c r="F40" s="74">
        <f>ROUND(G40/(1+E40)*E40,2)</f>
        <v>0</v>
      </c>
      <c r="G40" s="71">
        <v>150000</v>
      </c>
      <c r="H40" s="21"/>
      <c r="I40" s="74"/>
      <c r="J40" s="50"/>
      <c r="K40" s="57" t="s">
        <v>57</v>
      </c>
      <c r="L40" s="60" t="s">
        <v>58</v>
      </c>
      <c r="M40" s="61"/>
      <c r="N40" s="61"/>
      <c r="O40" s="60"/>
    </row>
    <row r="41" s="1" customFormat="1" ht="18" customHeight="1" spans="1:15">
      <c r="A41" s="34"/>
      <c r="B41" s="76">
        <f>G41-F41</f>
        <v>1749024.49</v>
      </c>
      <c r="C41" s="39"/>
      <c r="D41" s="40"/>
      <c r="E41" s="77">
        <v>0.03</v>
      </c>
      <c r="F41" s="76">
        <v>52470.73</v>
      </c>
      <c r="G41" s="78">
        <v>1801495.22</v>
      </c>
      <c r="H41" s="43"/>
      <c r="I41" s="74"/>
      <c r="J41" s="64"/>
      <c r="K41" s="65" t="s">
        <v>21</v>
      </c>
      <c r="L41" s="65" t="s">
        <v>59</v>
      </c>
      <c r="M41" s="61"/>
      <c r="N41" s="61"/>
      <c r="O41" s="60"/>
    </row>
    <row r="42" s="1" customFormat="1" ht="18" customHeight="1" spans="1:15">
      <c r="A42" s="34"/>
      <c r="B42" s="74">
        <f>ROUND(G42/(1+E42),2)</f>
        <v>0</v>
      </c>
      <c r="C42" s="35"/>
      <c r="D42" s="36"/>
      <c r="E42" s="37"/>
      <c r="F42" s="74">
        <f>ROUND(G42/(1+E42)*E42,2)</f>
        <v>0</v>
      </c>
      <c r="G42" s="71"/>
      <c r="H42" s="21" t="s">
        <v>60</v>
      </c>
      <c r="I42" s="74">
        <v>150000</v>
      </c>
      <c r="J42" s="50" t="s">
        <v>43</v>
      </c>
      <c r="K42" s="57" t="s">
        <v>57</v>
      </c>
      <c r="L42" s="60"/>
      <c r="M42" s="61"/>
      <c r="N42" s="61"/>
      <c r="O42" s="60"/>
    </row>
    <row r="43" s="1" customFormat="1" ht="18" customHeight="1" spans="1:15">
      <c r="A43" s="34"/>
      <c r="B43" s="74">
        <f>G43-F43</f>
        <v>265486.74</v>
      </c>
      <c r="C43" s="35"/>
      <c r="D43" s="36"/>
      <c r="E43" s="79">
        <v>0.03</v>
      </c>
      <c r="F43" s="74">
        <v>34513.26</v>
      </c>
      <c r="G43" s="71">
        <v>300000</v>
      </c>
      <c r="H43" s="21">
        <v>43699</v>
      </c>
      <c r="I43" s="74"/>
      <c r="J43" s="50"/>
      <c r="K43" s="57" t="s">
        <v>52</v>
      </c>
      <c r="L43" s="60"/>
      <c r="M43" s="61"/>
      <c r="N43" s="61"/>
      <c r="O43" s="60"/>
    </row>
    <row r="44" s="1" customFormat="1" ht="18" customHeight="1" spans="1:15">
      <c r="A44" s="34"/>
      <c r="B44" s="74">
        <f>ROUND(G44/(1+E44),2)</f>
        <v>0</v>
      </c>
      <c r="C44" s="35"/>
      <c r="D44" s="36"/>
      <c r="E44" s="37"/>
      <c r="F44" s="74"/>
      <c r="G44" s="71"/>
      <c r="H44" s="21"/>
      <c r="I44" s="74"/>
      <c r="J44" s="50"/>
      <c r="K44" s="57"/>
      <c r="L44" s="60"/>
      <c r="M44" s="61"/>
      <c r="N44" s="61"/>
      <c r="O44" s="60"/>
    </row>
    <row r="45" s="1" customFormat="1" ht="18" customHeight="1" spans="1:15">
      <c r="A45" s="34"/>
      <c r="B45" s="74">
        <f>G45-F45</f>
        <v>0</v>
      </c>
      <c r="C45" s="35"/>
      <c r="D45" s="36"/>
      <c r="E45" s="37"/>
      <c r="F45" s="74"/>
      <c r="G45" s="71"/>
      <c r="H45" s="21"/>
      <c r="I45" s="74"/>
      <c r="J45" s="50"/>
      <c r="K45" s="57"/>
      <c r="L45" s="60"/>
      <c r="M45" s="61"/>
      <c r="N45" s="61"/>
      <c r="O45" s="60"/>
    </row>
    <row r="46" s="1" customFormat="1" ht="18" customHeight="1" spans="1:15">
      <c r="A46" s="34"/>
      <c r="B46" s="74">
        <f>ROUND(G46/(1+E46),2)</f>
        <v>0</v>
      </c>
      <c r="C46" s="35"/>
      <c r="D46" s="36"/>
      <c r="E46" s="37"/>
      <c r="F46" s="74"/>
      <c r="G46" s="71"/>
      <c r="H46" s="21"/>
      <c r="I46" s="74"/>
      <c r="J46" s="50"/>
      <c r="K46" s="57"/>
      <c r="L46" s="60"/>
      <c r="M46" s="61"/>
      <c r="N46" s="61"/>
      <c r="O46" s="60"/>
    </row>
    <row r="47" s="1" customFormat="1" ht="18" customHeight="1" spans="1:15">
      <c r="A47" s="34"/>
      <c r="B47" s="74">
        <f>G47-F47</f>
        <v>0</v>
      </c>
      <c r="C47" s="35"/>
      <c r="D47" s="36"/>
      <c r="E47" s="37"/>
      <c r="F47" s="74"/>
      <c r="G47" s="71"/>
      <c r="H47" s="21" t="s">
        <v>61</v>
      </c>
      <c r="I47" s="74">
        <v>8900</v>
      </c>
      <c r="J47" s="50" t="s">
        <v>62</v>
      </c>
      <c r="K47" s="88" t="s">
        <v>63</v>
      </c>
      <c r="L47" s="60"/>
      <c r="M47" s="61"/>
      <c r="N47" s="61"/>
      <c r="O47" s="60"/>
    </row>
    <row r="48" s="1" customFormat="1" ht="18" customHeight="1" spans="1:15">
      <c r="A48" s="34"/>
      <c r="B48" s="74">
        <f>ROUND(G48/(1+E48),2)</f>
        <v>22250</v>
      </c>
      <c r="C48" s="35"/>
      <c r="D48" s="36"/>
      <c r="E48" s="37"/>
      <c r="F48" s="74"/>
      <c r="G48" s="71">
        <v>22250</v>
      </c>
      <c r="H48" s="21" t="s">
        <v>61</v>
      </c>
      <c r="I48" s="74">
        <v>22250</v>
      </c>
      <c r="J48" s="50" t="s">
        <v>64</v>
      </c>
      <c r="K48" s="57" t="s">
        <v>65</v>
      </c>
      <c r="L48" s="60"/>
      <c r="M48" s="61"/>
      <c r="N48" s="61"/>
      <c r="O48" s="60"/>
    </row>
    <row r="49" s="1" customFormat="1" ht="18" customHeight="1" spans="1:15">
      <c r="A49" s="34"/>
      <c r="B49" s="74">
        <f>G49-F49</f>
        <v>0</v>
      </c>
      <c r="C49" s="35"/>
      <c r="D49" s="36"/>
      <c r="E49" s="37"/>
      <c r="F49" s="74"/>
      <c r="G49" s="71"/>
      <c r="H49" s="21" t="s">
        <v>61</v>
      </c>
      <c r="I49" s="74">
        <v>9000</v>
      </c>
      <c r="J49" s="50" t="s">
        <v>62</v>
      </c>
      <c r="K49" s="88" t="s">
        <v>63</v>
      </c>
      <c r="L49" s="60"/>
      <c r="M49" s="61"/>
      <c r="N49" s="61"/>
      <c r="O49" s="60"/>
    </row>
    <row r="50" s="1" customFormat="1" ht="18" customHeight="1" spans="1:15">
      <c r="A50" s="34"/>
      <c r="B50" s="74">
        <f>ROUND(G50/(1+E50),2)</f>
        <v>22500</v>
      </c>
      <c r="C50" s="35"/>
      <c r="D50" s="36"/>
      <c r="E50" s="37"/>
      <c r="F50" s="74"/>
      <c r="G50" s="71">
        <v>22500</v>
      </c>
      <c r="H50" s="21" t="s">
        <v>61</v>
      </c>
      <c r="I50" s="74">
        <v>22500</v>
      </c>
      <c r="J50" s="50" t="s">
        <v>64</v>
      </c>
      <c r="K50" s="57" t="s">
        <v>65</v>
      </c>
      <c r="L50" s="60"/>
      <c r="M50" s="61"/>
      <c r="N50" s="61"/>
      <c r="O50" s="60"/>
    </row>
    <row r="51" s="1" customFormat="1" ht="18" customHeight="1" spans="1:15">
      <c r="A51" s="34"/>
      <c r="B51" s="74">
        <f>G51-F51</f>
        <v>0</v>
      </c>
      <c r="C51" s="35"/>
      <c r="D51" s="36"/>
      <c r="E51" s="37"/>
      <c r="F51" s="74">
        <f t="shared" ref="F50:F60" si="5">ROUND(G51/(1+E51)*E51,2)</f>
        <v>0</v>
      </c>
      <c r="G51" s="71"/>
      <c r="H51" s="21" t="s">
        <v>66</v>
      </c>
      <c r="I51" s="74">
        <v>4520</v>
      </c>
      <c r="J51" s="50" t="s">
        <v>64</v>
      </c>
      <c r="K51" s="57" t="s">
        <v>67</v>
      </c>
      <c r="L51" s="60"/>
      <c r="M51" s="61"/>
      <c r="N51" s="61"/>
      <c r="O51" s="60"/>
    </row>
    <row r="52" s="1" customFormat="1" ht="18" customHeight="1" spans="1:15">
      <c r="A52" s="34"/>
      <c r="B52" s="74">
        <f>ROUND(G52/(1+E52),2)</f>
        <v>0</v>
      </c>
      <c r="C52" s="35"/>
      <c r="D52" s="36"/>
      <c r="E52" s="37"/>
      <c r="F52" s="74">
        <f t="shared" si="5"/>
        <v>0</v>
      </c>
      <c r="G52" s="71"/>
      <c r="H52" s="21" t="s">
        <v>68</v>
      </c>
      <c r="I52" s="74">
        <v>-336840.22</v>
      </c>
      <c r="J52" s="50" t="s">
        <v>69</v>
      </c>
      <c r="K52" s="57" t="s">
        <v>70</v>
      </c>
      <c r="L52" s="60"/>
      <c r="M52" s="61"/>
      <c r="N52" s="61"/>
      <c r="O52" s="60"/>
    </row>
    <row r="53" s="1" customFormat="1" ht="18" customHeight="1" spans="1:15">
      <c r="A53" s="34"/>
      <c r="B53" s="74">
        <f>G53-F53</f>
        <v>0</v>
      </c>
      <c r="C53" s="35"/>
      <c r="D53" s="36"/>
      <c r="E53" s="37"/>
      <c r="F53" s="74">
        <f t="shared" si="5"/>
        <v>0</v>
      </c>
      <c r="G53" s="71"/>
      <c r="H53" s="21" t="s">
        <v>68</v>
      </c>
      <c r="I53" s="74">
        <v>2000</v>
      </c>
      <c r="J53" s="50" t="s">
        <v>64</v>
      </c>
      <c r="K53" s="57" t="s">
        <v>71</v>
      </c>
      <c r="L53" s="60"/>
      <c r="M53" s="61"/>
      <c r="N53" s="61"/>
      <c r="O53" s="60"/>
    </row>
    <row r="54" s="1" customFormat="1" ht="18" customHeight="1" spans="1:15">
      <c r="A54" s="34"/>
      <c r="B54" s="74">
        <f>ROUND(G54/(1+E54),2)</f>
        <v>0</v>
      </c>
      <c r="C54" s="35"/>
      <c r="D54" s="36"/>
      <c r="E54" s="37"/>
      <c r="F54" s="74">
        <f t="shared" si="5"/>
        <v>0</v>
      </c>
      <c r="G54" s="71"/>
      <c r="H54" s="21" t="s">
        <v>72</v>
      </c>
      <c r="I54" s="74">
        <v>256840.22</v>
      </c>
      <c r="J54" s="50" t="s">
        <v>73</v>
      </c>
      <c r="K54" s="57" t="s">
        <v>70</v>
      </c>
      <c r="L54" s="60"/>
      <c r="M54" s="61"/>
      <c r="N54" s="61"/>
      <c r="O54" s="60"/>
    </row>
    <row r="55" s="1" customFormat="1" ht="18" customHeight="1" spans="1:15">
      <c r="A55" s="34"/>
      <c r="B55" s="74">
        <f>G55-F55</f>
        <v>0</v>
      </c>
      <c r="C55" s="35"/>
      <c r="D55" s="36"/>
      <c r="E55" s="37"/>
      <c r="F55" s="74">
        <f t="shared" si="5"/>
        <v>0</v>
      </c>
      <c r="G55" s="71"/>
      <c r="H55" s="21" t="s">
        <v>72</v>
      </c>
      <c r="I55" s="74">
        <v>17159.78</v>
      </c>
      <c r="J55" s="50" t="s">
        <v>64</v>
      </c>
      <c r="K55" s="57" t="s">
        <v>74</v>
      </c>
      <c r="L55" s="60"/>
      <c r="M55" s="61"/>
      <c r="N55" s="61"/>
      <c r="O55" s="60"/>
    </row>
    <row r="56" s="1" customFormat="1" ht="18" customHeight="1" spans="1:15">
      <c r="A56" s="34"/>
      <c r="B56" s="74">
        <f>ROUND(G56/(1+E56),2)</f>
        <v>0</v>
      </c>
      <c r="C56" s="35"/>
      <c r="D56" s="36"/>
      <c r="E56" s="37"/>
      <c r="F56" s="74">
        <f t="shared" si="5"/>
        <v>0</v>
      </c>
      <c r="G56" s="71"/>
      <c r="H56" s="21" t="s">
        <v>75</v>
      </c>
      <c r="I56" s="74">
        <v>80000</v>
      </c>
      <c r="J56" s="50" t="s">
        <v>73</v>
      </c>
      <c r="K56" s="57" t="s">
        <v>70</v>
      </c>
      <c r="L56" s="60"/>
      <c r="M56" s="61"/>
      <c r="N56" s="61"/>
      <c r="O56" s="60"/>
    </row>
    <row r="57" s="1" customFormat="1" ht="18" customHeight="1" spans="1:15">
      <c r="A57" s="34"/>
      <c r="B57" s="74">
        <f>ROUND(G57/(1+E57),2)</f>
        <v>0</v>
      </c>
      <c r="C57" s="35"/>
      <c r="D57" s="36"/>
      <c r="E57" s="37"/>
      <c r="F57" s="74">
        <f t="shared" si="5"/>
        <v>0</v>
      </c>
      <c r="G57" s="71"/>
      <c r="H57" s="21" t="s">
        <v>75</v>
      </c>
      <c r="I57" s="74">
        <v>700</v>
      </c>
      <c r="J57" s="50" t="s">
        <v>64</v>
      </c>
      <c r="K57" s="57" t="s">
        <v>71</v>
      </c>
      <c r="L57" s="60"/>
      <c r="M57" s="61"/>
      <c r="N57" s="61"/>
      <c r="O57" s="60"/>
    </row>
    <row r="58" s="1" customFormat="1" ht="18" customHeight="1" spans="1:15">
      <c r="A58" s="34"/>
      <c r="B58" s="74">
        <f>ROUND(G58/(1+E58),2)</f>
        <v>0</v>
      </c>
      <c r="C58" s="35"/>
      <c r="D58" s="36"/>
      <c r="E58" s="37"/>
      <c r="F58" s="74">
        <f t="shared" si="5"/>
        <v>0</v>
      </c>
      <c r="G58" s="71"/>
      <c r="H58" s="21" t="s">
        <v>75</v>
      </c>
      <c r="I58" s="74">
        <v>19731.95</v>
      </c>
      <c r="J58" s="50" t="s">
        <v>64</v>
      </c>
      <c r="K58" s="57" t="s">
        <v>74</v>
      </c>
      <c r="L58" s="60"/>
      <c r="M58" s="61"/>
      <c r="N58" s="61"/>
      <c r="O58" s="60"/>
    </row>
    <row r="59" s="1" customFormat="1" ht="18" customHeight="1" spans="1:15">
      <c r="A59" s="34"/>
      <c r="B59" s="74">
        <f>ROUND(G59/(1+E59),2)</f>
        <v>42325</v>
      </c>
      <c r="C59" s="35"/>
      <c r="D59" s="36"/>
      <c r="E59" s="37"/>
      <c r="F59" s="74">
        <f t="shared" si="5"/>
        <v>0</v>
      </c>
      <c r="G59" s="71">
        <f>14500+16000+11825</f>
        <v>42325</v>
      </c>
      <c r="H59" s="21"/>
      <c r="I59" s="74">
        <f>G59</f>
        <v>42325</v>
      </c>
      <c r="J59" s="50" t="s">
        <v>64</v>
      </c>
      <c r="K59" s="57" t="s">
        <v>65</v>
      </c>
      <c r="L59" s="60"/>
      <c r="M59" s="61"/>
      <c r="N59" s="61"/>
      <c r="O59" s="60"/>
    </row>
    <row r="60" ht="18" customHeight="1" spans="1:15">
      <c r="A60" s="29" t="s">
        <v>23</v>
      </c>
      <c r="B60" s="72">
        <f>SUM(B16:B59)</f>
        <v>3992088.99</v>
      </c>
      <c r="C60" s="29"/>
      <c r="D60" s="44"/>
      <c r="E60" s="44"/>
      <c r="F60" s="73">
        <f>SUM(F16:F59)</f>
        <v>182656.23</v>
      </c>
      <c r="G60" s="80">
        <f>SUM(G16:G59)</f>
        <v>4174745.22</v>
      </c>
      <c r="H60" s="46"/>
      <c r="I60" s="29">
        <f>SUM(I16:I59)</f>
        <v>4355650</v>
      </c>
      <c r="J60" s="66"/>
      <c r="K60" s="44"/>
      <c r="L60" s="32"/>
      <c r="M60" s="50"/>
      <c r="N60" s="50"/>
      <c r="O60" s="32"/>
    </row>
    <row r="61" ht="18" customHeight="1" spans="1:14">
      <c r="A61" s="47" t="s">
        <v>76</v>
      </c>
      <c r="B61" s="47">
        <f>B13-B60</f>
        <v>-822280.96679748</v>
      </c>
      <c r="C61" s="47"/>
      <c r="D61" s="49"/>
      <c r="E61" s="49"/>
      <c r="F61" s="47"/>
      <c r="G61" s="47">
        <f>G13-G60</f>
        <v>-691745.22</v>
      </c>
      <c r="H61" s="20" t="s">
        <v>77</v>
      </c>
      <c r="I61" s="29">
        <f>I13-I60</f>
        <v>-872650</v>
      </c>
      <c r="J61" s="6"/>
      <c r="K61" s="67"/>
      <c r="M61" s="68"/>
      <c r="N61" s="68"/>
    </row>
    <row r="62" ht="18" customHeight="1" spans="1:13">
      <c r="A62" s="2" t="s">
        <v>78</v>
      </c>
      <c r="C62" s="2"/>
      <c r="M62" s="6" t="s">
        <v>79</v>
      </c>
    </row>
    <row r="63" ht="18" customHeight="1" spans="1:12">
      <c r="A63" s="20" t="s">
        <v>80</v>
      </c>
      <c r="B63" s="19" t="s">
        <v>81</v>
      </c>
      <c r="C63" s="32"/>
      <c r="D63" s="20" t="s">
        <v>80</v>
      </c>
      <c r="E63" s="18" t="s">
        <v>16</v>
      </c>
      <c r="F63" s="19" t="s">
        <v>81</v>
      </c>
      <c r="G63" s="19" t="s">
        <v>82</v>
      </c>
      <c r="H63" s="19" t="s">
        <v>83</v>
      </c>
      <c r="I63" s="19" t="s">
        <v>84</v>
      </c>
      <c r="K63" s="3">
        <f>I55/1.1</f>
        <v>15599.8</v>
      </c>
      <c r="L63" s="3"/>
    </row>
    <row r="64" ht="18" customHeight="1" spans="1:17">
      <c r="A64" s="32" t="s">
        <v>85</v>
      </c>
      <c r="B64" s="16">
        <f>(B13-B60)*0.25</f>
        <v>-205570.24169937</v>
      </c>
      <c r="C64" s="32"/>
      <c r="D64" s="9" t="s">
        <v>86</v>
      </c>
      <c r="E64" s="50" t="s">
        <v>87</v>
      </c>
      <c r="F64" s="81">
        <f>F13-F60</f>
        <v>-49337.311081081</v>
      </c>
      <c r="G64" s="81">
        <f>F7-F17</f>
        <v>17938.137027027</v>
      </c>
      <c r="H64" s="81">
        <f>F8-F24-F29</f>
        <v>15599.8018918919</v>
      </c>
      <c r="I64" s="81">
        <f>F9-F31-F36</f>
        <v>4108.74</v>
      </c>
      <c r="K64" s="3">
        <f>F8-K63</f>
        <v>36292.0918918919</v>
      </c>
      <c r="Q64" s="6" t="s">
        <v>79</v>
      </c>
    </row>
    <row r="65" ht="18" customHeight="1" spans="1:11">
      <c r="A65" s="32" t="s">
        <v>88</v>
      </c>
      <c r="B65" s="52" t="s">
        <v>89</v>
      </c>
      <c r="C65" s="32"/>
      <c r="D65" s="53" t="s">
        <v>90</v>
      </c>
      <c r="E65" s="13">
        <v>0.05</v>
      </c>
      <c r="F65" s="11">
        <f>F64*E65</f>
        <v>-2466.86555405405</v>
      </c>
      <c r="G65" s="11"/>
      <c r="H65" s="11"/>
      <c r="I65" s="11"/>
      <c r="K65" s="6">
        <f>I51/1.1</f>
        <v>4109.09090909091</v>
      </c>
    </row>
    <row r="66" ht="18" customHeight="1" spans="1:11">
      <c r="A66" s="32" t="s">
        <v>91</v>
      </c>
      <c r="B66" s="52" t="s">
        <v>89</v>
      </c>
      <c r="C66" s="32"/>
      <c r="D66" s="53" t="s">
        <v>92</v>
      </c>
      <c r="E66" s="13">
        <v>0.03</v>
      </c>
      <c r="F66" s="11">
        <f>F64*E66</f>
        <v>-1480.11933243243</v>
      </c>
      <c r="G66" s="11"/>
      <c r="H66" s="11"/>
      <c r="I66" s="11"/>
      <c r="K66" s="3">
        <f>F9-K65</f>
        <v>30290.9090909091</v>
      </c>
    </row>
    <row r="67" ht="18" customHeight="1" spans="1:12">
      <c r="A67" s="32"/>
      <c r="B67" s="22"/>
      <c r="C67" s="32"/>
      <c r="D67" s="53" t="s">
        <v>93</v>
      </c>
      <c r="E67" s="13">
        <v>0.02</v>
      </c>
      <c r="F67" s="11">
        <f>F64*E67</f>
        <v>-986.74622162162</v>
      </c>
      <c r="G67" s="11"/>
      <c r="H67" s="11"/>
      <c r="I67" s="11"/>
      <c r="L67" s="6" t="s">
        <v>79</v>
      </c>
    </row>
    <row r="68" ht="18" customHeight="1" spans="1:9">
      <c r="A68" s="27" t="s">
        <v>94</v>
      </c>
      <c r="B68" s="28">
        <f>SUM(B64:B67)</f>
        <v>-205570.24169937</v>
      </c>
      <c r="C68" s="32"/>
      <c r="D68" s="27" t="s">
        <v>94</v>
      </c>
      <c r="E68" s="27"/>
      <c r="F68" s="73">
        <f>SUM(F64:F67)</f>
        <v>-54271.0421891891</v>
      </c>
      <c r="G68" s="73"/>
      <c r="H68" s="73"/>
      <c r="I68" s="73"/>
    </row>
    <row r="69" ht="18" customHeight="1" spans="3:11">
      <c r="C69" s="2"/>
      <c r="D69" s="29" t="s">
        <v>23</v>
      </c>
      <c r="E69" s="29"/>
      <c r="F69" s="29">
        <f>F68</f>
        <v>-54271.0421891891</v>
      </c>
      <c r="G69" s="29"/>
      <c r="H69" s="29"/>
      <c r="I69" s="29"/>
      <c r="K69" s="6">
        <f>14500+16000+11825</f>
        <v>42325</v>
      </c>
    </row>
    <row r="70" ht="18" customHeight="1" spans="3:9">
      <c r="C70" s="2"/>
      <c r="I70" s="3">
        <f>I58/1.1</f>
        <v>17938.1363636364</v>
      </c>
    </row>
    <row r="71" ht="18" customHeight="1" spans="3:9">
      <c r="C71" s="2"/>
      <c r="I71" s="3">
        <f>F7-I70</f>
        <v>29088.8906633907</v>
      </c>
    </row>
    <row r="72" ht="18" customHeight="1" spans="3:3">
      <c r="C72" s="2"/>
    </row>
    <row r="73" ht="18" customHeight="1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</sheetData>
  <autoFilter ref="A15:Q7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topLeftCell="A31" workbookViewId="0">
      <selection activeCell="D48" sqref="D48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95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42752</v>
      </c>
      <c r="C2" s="11" t="s">
        <v>2</v>
      </c>
      <c r="D2" s="12">
        <v>5339508.11</v>
      </c>
      <c r="E2" s="13" t="s">
        <v>3</v>
      </c>
      <c r="F2" s="11" t="s">
        <v>4</v>
      </c>
      <c r="G2" s="14" t="s">
        <v>5</v>
      </c>
      <c r="H2" s="15" t="s">
        <v>6</v>
      </c>
      <c r="I2" s="54"/>
      <c r="J2" s="55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4615782.82</v>
      </c>
      <c r="H3" s="17"/>
      <c r="I3" s="56"/>
      <c r="J3" s="17"/>
      <c r="K3" s="17"/>
      <c r="L3" s="17"/>
    </row>
    <row r="4" ht="18" customHeight="1" spans="1:12">
      <c r="A4" s="2" t="s">
        <v>9</v>
      </c>
      <c r="H4" s="17"/>
      <c r="I4" s="56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2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  <c r="K6" s="57" t="s">
        <v>21</v>
      </c>
      <c r="L6" s="6">
        <f>I32+I33+I35+I37+I38-G31-G36</f>
        <v>1801495.22</v>
      </c>
    </row>
    <row r="7" ht="18" customHeight="1" spans="1:12">
      <c r="A7" s="21"/>
      <c r="B7" s="22">
        <f>G7/(1+C7+E7)</f>
        <v>0</v>
      </c>
      <c r="C7" s="23">
        <v>0.02</v>
      </c>
      <c r="D7" s="24">
        <f>G7/(1+E7+C7)*C7</f>
        <v>0</v>
      </c>
      <c r="E7" s="23"/>
      <c r="F7" s="22">
        <f>G7/(1+C7+E7)*E7</f>
        <v>0</v>
      </c>
      <c r="G7" s="25"/>
      <c r="H7" s="21"/>
      <c r="I7" s="22"/>
      <c r="J7" s="50"/>
      <c r="K7" s="58" t="s">
        <v>52</v>
      </c>
      <c r="L7" s="6">
        <v>300000</v>
      </c>
    </row>
    <row r="8" ht="18" customHeight="1" spans="1:10">
      <c r="A8" s="21">
        <v>43321</v>
      </c>
      <c r="B8" s="22">
        <f t="shared" ref="B8:B11" si="0">G8/(1+C8+E8)</f>
        <v>522522.522522522</v>
      </c>
      <c r="C8" s="23">
        <v>0.02</v>
      </c>
      <c r="D8" s="24">
        <f t="shared" ref="D8:D11" si="1">G8/(1+E8+C8)*C8</f>
        <v>10450.4504504504</v>
      </c>
      <c r="E8" s="23">
        <v>0.09</v>
      </c>
      <c r="F8" s="22">
        <f t="shared" ref="F8:F11" si="2">G8/(1+C8+E8)*E8</f>
        <v>47027.027027027</v>
      </c>
      <c r="G8" s="25">
        <v>580000</v>
      </c>
      <c r="H8" s="21">
        <v>43008</v>
      </c>
      <c r="I8" s="22">
        <v>580000</v>
      </c>
      <c r="J8" s="50" t="s">
        <v>22</v>
      </c>
    </row>
    <row r="9" ht="18" customHeight="1" spans="1:10">
      <c r="A9" s="21">
        <v>43454</v>
      </c>
      <c r="B9" s="22">
        <f t="shared" si="0"/>
        <v>576576.576576577</v>
      </c>
      <c r="C9" s="23">
        <v>0.02</v>
      </c>
      <c r="D9" s="24">
        <f t="shared" si="1"/>
        <v>11531.5315315315</v>
      </c>
      <c r="E9" s="23">
        <v>0.09</v>
      </c>
      <c r="F9" s="22">
        <f t="shared" si="2"/>
        <v>51891.8918918919</v>
      </c>
      <c r="G9" s="25">
        <v>640000</v>
      </c>
      <c r="H9" s="21">
        <v>43100</v>
      </c>
      <c r="I9" s="22">
        <v>640000</v>
      </c>
      <c r="J9" s="50" t="s">
        <v>22</v>
      </c>
    </row>
    <row r="10" ht="18" customHeight="1" spans="1:10">
      <c r="A10" s="21">
        <v>43642</v>
      </c>
      <c r="B10" s="22">
        <f t="shared" si="0"/>
        <v>430000</v>
      </c>
      <c r="C10" s="23">
        <v>0.02</v>
      </c>
      <c r="D10" s="24">
        <f t="shared" si="1"/>
        <v>8600</v>
      </c>
      <c r="E10" s="23">
        <v>0.08</v>
      </c>
      <c r="F10" s="22">
        <f t="shared" si="2"/>
        <v>34400</v>
      </c>
      <c r="G10" s="25">
        <v>473000</v>
      </c>
      <c r="H10" s="21" t="s">
        <v>96</v>
      </c>
      <c r="I10" s="22">
        <v>473000</v>
      </c>
      <c r="J10" s="50" t="s">
        <v>22</v>
      </c>
    </row>
    <row r="11" ht="18" customHeight="1" spans="1:10">
      <c r="A11" s="21"/>
      <c r="B11" s="22">
        <f t="shared" si="0"/>
        <v>2681452.12844037</v>
      </c>
      <c r="C11" s="26">
        <v>0.02</v>
      </c>
      <c r="D11" s="24">
        <f t="shared" si="1"/>
        <v>53629.0425688073</v>
      </c>
      <c r="E11" s="26">
        <v>0.07</v>
      </c>
      <c r="F11" s="22">
        <f t="shared" si="2"/>
        <v>187701.648990826</v>
      </c>
      <c r="G11" s="25">
        <f>4615782.82-1693000</f>
        <v>2922782.82</v>
      </c>
      <c r="H11" s="21"/>
      <c r="I11" s="22"/>
      <c r="J11" s="50"/>
    </row>
    <row r="12" ht="18" customHeight="1" spans="1:10">
      <c r="A12" s="27" t="s">
        <v>23</v>
      </c>
      <c r="B12" s="28">
        <f>SUM(B7:B11)</f>
        <v>4210551.22753947</v>
      </c>
      <c r="C12" s="29"/>
      <c r="D12" s="30">
        <f t="shared" ref="D12:G12" si="3">SUM(D7:D10)</f>
        <v>30581.981981982</v>
      </c>
      <c r="E12" s="29"/>
      <c r="F12" s="31">
        <f t="shared" si="3"/>
        <v>133318.918918919</v>
      </c>
      <c r="G12" s="30">
        <f t="shared" si="3"/>
        <v>1693000</v>
      </c>
      <c r="H12" s="32"/>
      <c r="I12" s="30">
        <f>SUM(I7:I10)</f>
        <v>1693000</v>
      </c>
      <c r="J12" s="32"/>
    </row>
    <row r="13" ht="18" customHeight="1" spans="1:12">
      <c r="A13" s="2" t="s">
        <v>24</v>
      </c>
      <c r="J13" s="4"/>
      <c r="K13" s="4"/>
      <c r="L13" s="5"/>
    </row>
    <row r="14" ht="18" customHeight="1" spans="1:15">
      <c r="A14" s="33" t="s">
        <v>25</v>
      </c>
      <c r="B14" s="19" t="s">
        <v>26</v>
      </c>
      <c r="C14" s="18" t="s">
        <v>27</v>
      </c>
      <c r="D14" s="18" t="s">
        <v>28</v>
      </c>
      <c r="E14" s="18" t="s">
        <v>16</v>
      </c>
      <c r="F14" s="19" t="s">
        <v>29</v>
      </c>
      <c r="G14" s="19" t="s">
        <v>14</v>
      </c>
      <c r="H14" s="18" t="s">
        <v>30</v>
      </c>
      <c r="I14" s="19" t="s">
        <v>31</v>
      </c>
      <c r="J14" s="18" t="s">
        <v>20</v>
      </c>
      <c r="K14" s="59" t="s">
        <v>32</v>
      </c>
      <c r="L14" s="20" t="s">
        <v>33</v>
      </c>
      <c r="M14" s="20" t="s">
        <v>34</v>
      </c>
      <c r="N14" s="20" t="s">
        <v>35</v>
      </c>
      <c r="O14" s="20" t="s">
        <v>36</v>
      </c>
    </row>
    <row r="15" s="1" customFormat="1" ht="18" customHeight="1" spans="1:15">
      <c r="A15" s="34"/>
      <c r="B15" s="16">
        <f t="shared" ref="B15:B53" si="4">ROUND(G15/(1+E15),2)</f>
        <v>0</v>
      </c>
      <c r="C15" s="35"/>
      <c r="D15" s="36"/>
      <c r="E15" s="37"/>
      <c r="F15" s="16">
        <f t="shared" ref="F15:F53" si="5">ROUND(G15/(1+E15)*E15,2)</f>
        <v>0</v>
      </c>
      <c r="G15" s="25"/>
      <c r="H15" s="21"/>
      <c r="I15" s="22"/>
      <c r="J15" s="50"/>
      <c r="K15" s="57"/>
      <c r="L15" s="60"/>
      <c r="M15" s="61"/>
      <c r="N15" s="61"/>
      <c r="O15" s="60"/>
    </row>
    <row r="16" s="1" customFormat="1" ht="18" customHeight="1" spans="1:15">
      <c r="A16" s="34">
        <v>42887</v>
      </c>
      <c r="B16" s="16">
        <f t="shared" si="4"/>
        <v>346200</v>
      </c>
      <c r="C16" s="35"/>
      <c r="D16" s="36"/>
      <c r="E16" s="37"/>
      <c r="F16" s="16">
        <f t="shared" si="5"/>
        <v>0</v>
      </c>
      <c r="G16" s="25">
        <v>346200</v>
      </c>
      <c r="H16" s="21"/>
      <c r="I16" s="22"/>
      <c r="J16" s="50"/>
      <c r="K16" s="57"/>
      <c r="L16" s="60" t="s">
        <v>38</v>
      </c>
      <c r="M16" s="61"/>
      <c r="N16" s="61"/>
      <c r="O16" s="60" t="s">
        <v>39</v>
      </c>
    </row>
    <row r="17" s="1" customFormat="1" ht="18" customHeight="1" spans="1:15">
      <c r="A17" s="34">
        <v>42948</v>
      </c>
      <c r="B17" s="16">
        <f t="shared" si="4"/>
        <v>171111.11</v>
      </c>
      <c r="C17" s="35"/>
      <c r="D17" s="36"/>
      <c r="E17" s="37">
        <v>0.17</v>
      </c>
      <c r="F17" s="16">
        <f t="shared" si="5"/>
        <v>29088.89</v>
      </c>
      <c r="G17" s="25">
        <v>200200</v>
      </c>
      <c r="H17" s="21"/>
      <c r="I17" s="22"/>
      <c r="J17" s="50"/>
      <c r="K17" s="57" t="s">
        <v>40</v>
      </c>
      <c r="L17" s="60" t="s">
        <v>41</v>
      </c>
      <c r="M17" s="61"/>
      <c r="N17" s="61"/>
      <c r="O17" s="60"/>
    </row>
    <row r="18" s="1" customFormat="1" ht="18" customHeight="1" spans="1:15">
      <c r="A18" s="34"/>
      <c r="B18" s="16">
        <f t="shared" si="4"/>
        <v>0</v>
      </c>
      <c r="C18" s="35"/>
      <c r="D18" s="36"/>
      <c r="E18" s="37"/>
      <c r="F18" s="16">
        <f t="shared" si="5"/>
        <v>0</v>
      </c>
      <c r="G18" s="25"/>
      <c r="H18" s="21" t="s">
        <v>42</v>
      </c>
      <c r="I18" s="22">
        <v>-100000</v>
      </c>
      <c r="J18" s="50" t="s">
        <v>43</v>
      </c>
      <c r="K18" s="57" t="s">
        <v>44</v>
      </c>
      <c r="L18" s="60"/>
      <c r="M18" s="61"/>
      <c r="N18" s="61"/>
      <c r="O18" s="60"/>
    </row>
    <row r="19" s="1" customFormat="1" ht="18" customHeight="1" spans="1:15">
      <c r="A19" s="34"/>
      <c r="B19" s="16">
        <f t="shared" si="4"/>
        <v>0</v>
      </c>
      <c r="C19" s="35"/>
      <c r="D19" s="36"/>
      <c r="E19" s="37"/>
      <c r="F19" s="16">
        <f t="shared" si="5"/>
        <v>0</v>
      </c>
      <c r="G19" s="25"/>
      <c r="H19" s="21" t="s">
        <v>42</v>
      </c>
      <c r="I19" s="22">
        <v>100000</v>
      </c>
      <c r="J19" s="50" t="s">
        <v>22</v>
      </c>
      <c r="K19" s="57" t="s">
        <v>40</v>
      </c>
      <c r="L19" s="60"/>
      <c r="M19" s="61"/>
      <c r="N19" s="61"/>
      <c r="O19" s="60"/>
    </row>
    <row r="20" s="1" customFormat="1" ht="18" customHeight="1" spans="1:15">
      <c r="A20" s="34"/>
      <c r="B20" s="16">
        <f t="shared" si="4"/>
        <v>0</v>
      </c>
      <c r="C20" s="35"/>
      <c r="D20" s="36"/>
      <c r="E20" s="37"/>
      <c r="F20" s="16">
        <f t="shared" si="5"/>
        <v>0</v>
      </c>
      <c r="G20" s="25"/>
      <c r="H20" s="21" t="s">
        <v>42</v>
      </c>
      <c r="I20" s="22">
        <v>-100000</v>
      </c>
      <c r="J20" s="50" t="s">
        <v>43</v>
      </c>
      <c r="K20" s="57" t="s">
        <v>44</v>
      </c>
      <c r="L20" s="60"/>
      <c r="M20" s="61"/>
      <c r="N20" s="61"/>
      <c r="O20" s="60"/>
    </row>
    <row r="21" s="1" customFormat="1" ht="18" customHeight="1" spans="1:15">
      <c r="A21" s="34"/>
      <c r="B21" s="16">
        <f t="shared" si="4"/>
        <v>0</v>
      </c>
      <c r="C21" s="35"/>
      <c r="D21" s="36"/>
      <c r="E21" s="37"/>
      <c r="F21" s="16">
        <f t="shared" si="5"/>
        <v>0</v>
      </c>
      <c r="G21" s="25"/>
      <c r="H21" s="21" t="s">
        <v>42</v>
      </c>
      <c r="I21" s="22">
        <v>100000</v>
      </c>
      <c r="J21" s="50" t="s">
        <v>22</v>
      </c>
      <c r="K21" s="57" t="s">
        <v>40</v>
      </c>
      <c r="L21" s="60"/>
      <c r="M21" s="61"/>
      <c r="N21" s="61"/>
      <c r="O21" s="60"/>
    </row>
    <row r="22" s="1" customFormat="1" ht="18" customHeight="1" spans="1:15">
      <c r="A22" s="34"/>
      <c r="B22" s="16">
        <f t="shared" si="4"/>
        <v>0</v>
      </c>
      <c r="C22" s="35"/>
      <c r="D22" s="36"/>
      <c r="E22" s="37"/>
      <c r="F22" s="16">
        <f t="shared" si="5"/>
        <v>0</v>
      </c>
      <c r="G22" s="25"/>
      <c r="H22" s="21" t="s">
        <v>45</v>
      </c>
      <c r="I22" s="22">
        <v>365068.05</v>
      </c>
      <c r="J22" s="50" t="s">
        <v>43</v>
      </c>
      <c r="K22" s="57" t="s">
        <v>44</v>
      </c>
      <c r="L22" s="60"/>
      <c r="M22" s="61"/>
      <c r="N22" s="61"/>
      <c r="O22" s="60" t="s">
        <v>46</v>
      </c>
    </row>
    <row r="23" s="1" customFormat="1" ht="18" customHeight="1" spans="1:15">
      <c r="A23" s="34"/>
      <c r="B23" s="16">
        <f t="shared" si="4"/>
        <v>0</v>
      </c>
      <c r="C23" s="35"/>
      <c r="D23" s="36"/>
      <c r="E23" s="37"/>
      <c r="F23" s="16">
        <f t="shared" si="5"/>
        <v>0</v>
      </c>
      <c r="G23" s="25"/>
      <c r="H23" s="21" t="s">
        <v>45</v>
      </c>
      <c r="I23" s="22">
        <v>100000</v>
      </c>
      <c r="J23" s="50" t="s">
        <v>22</v>
      </c>
      <c r="K23" s="57" t="s">
        <v>40</v>
      </c>
      <c r="L23" s="60"/>
      <c r="M23" s="61"/>
      <c r="N23" s="61"/>
      <c r="O23" s="60"/>
    </row>
    <row r="24" s="1" customFormat="1" ht="18" customHeight="1" spans="1:15">
      <c r="A24" s="34">
        <v>42979</v>
      </c>
      <c r="B24" s="16">
        <f t="shared" si="4"/>
        <v>85384.62</v>
      </c>
      <c r="C24" s="35"/>
      <c r="D24" s="36"/>
      <c r="E24" s="37">
        <v>0.17</v>
      </c>
      <c r="F24" s="16">
        <f t="shared" si="5"/>
        <v>14515.38</v>
      </c>
      <c r="G24" s="25">
        <v>99900</v>
      </c>
      <c r="H24" s="21"/>
      <c r="I24" s="22"/>
      <c r="J24" s="50"/>
      <c r="K24" s="57" t="s">
        <v>40</v>
      </c>
      <c r="L24" s="60" t="s">
        <v>41</v>
      </c>
      <c r="M24" s="61"/>
      <c r="N24" s="61"/>
      <c r="O24" s="60"/>
    </row>
    <row r="25" s="1" customFormat="1" ht="18" customHeight="1" spans="1:15">
      <c r="A25" s="34"/>
      <c r="B25" s="16">
        <f t="shared" si="4"/>
        <v>0</v>
      </c>
      <c r="C25" s="35"/>
      <c r="D25" s="36"/>
      <c r="E25" s="37"/>
      <c r="F25" s="16">
        <f t="shared" si="5"/>
        <v>0</v>
      </c>
      <c r="G25" s="25"/>
      <c r="H25" s="21" t="s">
        <v>47</v>
      </c>
      <c r="I25" s="22">
        <v>-100000</v>
      </c>
      <c r="J25" s="50" t="s">
        <v>43</v>
      </c>
      <c r="K25" s="57" t="s">
        <v>44</v>
      </c>
      <c r="L25" s="60"/>
      <c r="M25" s="61"/>
      <c r="N25" s="61"/>
      <c r="O25" s="60"/>
    </row>
    <row r="26" s="1" customFormat="1" ht="18" customHeight="1" spans="1:15">
      <c r="A26" s="34"/>
      <c r="B26" s="16">
        <f t="shared" si="4"/>
        <v>0</v>
      </c>
      <c r="C26" s="35"/>
      <c r="D26" s="36"/>
      <c r="E26" s="37"/>
      <c r="F26" s="16">
        <f t="shared" si="5"/>
        <v>0</v>
      </c>
      <c r="G26" s="25"/>
      <c r="H26" s="21" t="s">
        <v>47</v>
      </c>
      <c r="I26" s="22">
        <v>-50000</v>
      </c>
      <c r="J26" s="50" t="s">
        <v>43</v>
      </c>
      <c r="K26" s="57" t="s">
        <v>44</v>
      </c>
      <c r="L26" s="60"/>
      <c r="M26" s="61"/>
      <c r="N26" s="61"/>
      <c r="O26" s="60"/>
    </row>
    <row r="27" s="1" customFormat="1" ht="18" customHeight="1" spans="1:15">
      <c r="A27" s="34"/>
      <c r="B27" s="16">
        <f t="shared" si="4"/>
        <v>0</v>
      </c>
      <c r="C27" s="35"/>
      <c r="D27" s="36"/>
      <c r="E27" s="37"/>
      <c r="F27" s="16">
        <f t="shared" si="5"/>
        <v>0</v>
      </c>
      <c r="G27" s="25"/>
      <c r="H27" s="21" t="s">
        <v>47</v>
      </c>
      <c r="I27" s="22">
        <v>100000</v>
      </c>
      <c r="J27" s="50" t="s">
        <v>22</v>
      </c>
      <c r="K27" s="57" t="s">
        <v>40</v>
      </c>
      <c r="L27" s="60"/>
      <c r="M27" s="61"/>
      <c r="N27" s="61"/>
      <c r="O27" s="60"/>
    </row>
    <row r="28" s="1" customFormat="1" ht="18" customHeight="1" spans="1:15">
      <c r="A28" s="34"/>
      <c r="B28" s="16">
        <f t="shared" si="4"/>
        <v>0</v>
      </c>
      <c r="C28" s="35"/>
      <c r="D28" s="36"/>
      <c r="E28" s="37"/>
      <c r="F28" s="16">
        <f t="shared" si="5"/>
        <v>0</v>
      </c>
      <c r="G28" s="25"/>
      <c r="H28" s="21" t="s">
        <v>47</v>
      </c>
      <c r="I28" s="22">
        <v>50000</v>
      </c>
      <c r="J28" s="50" t="s">
        <v>22</v>
      </c>
      <c r="K28" s="57" t="s">
        <v>40</v>
      </c>
      <c r="L28" s="60"/>
      <c r="M28" s="61"/>
      <c r="N28" s="61"/>
      <c r="O28" s="60"/>
    </row>
    <row r="29" s="1" customFormat="1" ht="18" customHeight="1" spans="1:15">
      <c r="A29" s="34">
        <v>43009</v>
      </c>
      <c r="B29" s="16">
        <f t="shared" si="4"/>
        <v>128098.29</v>
      </c>
      <c r="C29" s="35"/>
      <c r="D29" s="36"/>
      <c r="E29" s="37">
        <v>0.17</v>
      </c>
      <c r="F29" s="16">
        <f t="shared" si="5"/>
        <v>21776.71</v>
      </c>
      <c r="G29" s="25">
        <v>149875</v>
      </c>
      <c r="H29" s="21"/>
      <c r="I29" s="22"/>
      <c r="J29" s="50"/>
      <c r="K29" s="5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34"/>
      <c r="B30" s="16">
        <f t="shared" si="4"/>
        <v>0</v>
      </c>
      <c r="C30" s="35"/>
      <c r="D30" s="36"/>
      <c r="E30" s="37"/>
      <c r="F30" s="16">
        <f t="shared" si="5"/>
        <v>0</v>
      </c>
      <c r="G30" s="25"/>
      <c r="H30" s="21" t="s">
        <v>48</v>
      </c>
      <c r="I30" s="22">
        <v>350000</v>
      </c>
      <c r="J30" s="50" t="s">
        <v>43</v>
      </c>
      <c r="K30" s="57" t="s">
        <v>44</v>
      </c>
      <c r="L30" s="60"/>
      <c r="M30" s="61"/>
      <c r="N30" s="61"/>
      <c r="O30" s="60"/>
    </row>
    <row r="31" s="1" customFormat="1" ht="18" customHeight="1" spans="1:15">
      <c r="A31" s="34">
        <v>43101</v>
      </c>
      <c r="B31" s="16">
        <f t="shared" si="4"/>
        <v>330097.09</v>
      </c>
      <c r="C31" s="35"/>
      <c r="D31" s="36"/>
      <c r="E31" s="37">
        <v>0.03</v>
      </c>
      <c r="F31" s="16">
        <f t="shared" si="5"/>
        <v>9902.91</v>
      </c>
      <c r="G31" s="25">
        <v>340000</v>
      </c>
      <c r="H31" s="21"/>
      <c r="I31" s="22"/>
      <c r="J31" s="50"/>
      <c r="K31" s="57" t="s">
        <v>21</v>
      </c>
      <c r="L31" s="60" t="s">
        <v>49</v>
      </c>
      <c r="M31" s="61"/>
      <c r="N31" s="61"/>
      <c r="O31" s="60"/>
    </row>
    <row r="32" s="1" customFormat="1" ht="18" customHeight="1" spans="1:15">
      <c r="A32" s="34"/>
      <c r="B32" s="16">
        <f t="shared" si="4"/>
        <v>0</v>
      </c>
      <c r="C32" s="35"/>
      <c r="D32" s="36"/>
      <c r="E32" s="37"/>
      <c r="F32" s="16">
        <f t="shared" si="5"/>
        <v>0</v>
      </c>
      <c r="G32" s="25"/>
      <c r="H32" s="21" t="s">
        <v>48</v>
      </c>
      <c r="I32" s="22">
        <v>334840.22</v>
      </c>
      <c r="J32" s="50" t="s">
        <v>22</v>
      </c>
      <c r="K32" s="57" t="s">
        <v>21</v>
      </c>
      <c r="L32" s="60"/>
      <c r="M32" s="61"/>
      <c r="N32" s="61"/>
      <c r="O32" s="60"/>
    </row>
    <row r="33" s="1" customFormat="1" ht="18" customHeight="1" spans="1:15">
      <c r="A33" s="34"/>
      <c r="B33" s="16">
        <f t="shared" si="4"/>
        <v>0</v>
      </c>
      <c r="C33" s="35"/>
      <c r="D33" s="36"/>
      <c r="E33" s="37"/>
      <c r="F33" s="16">
        <f t="shared" si="5"/>
        <v>0</v>
      </c>
      <c r="G33" s="25"/>
      <c r="H33" s="21" t="s">
        <v>50</v>
      </c>
      <c r="I33" s="62">
        <v>700000</v>
      </c>
      <c r="J33" s="63" t="s">
        <v>22</v>
      </c>
      <c r="K33" s="58" t="s">
        <v>21</v>
      </c>
      <c r="L33" s="60" t="s">
        <v>51</v>
      </c>
      <c r="M33" s="61"/>
      <c r="N33" s="61"/>
      <c r="O33" s="60"/>
    </row>
    <row r="34" s="1" customFormat="1" ht="18" customHeight="1" spans="1:15">
      <c r="A34" s="34"/>
      <c r="B34" s="16">
        <f t="shared" si="4"/>
        <v>0</v>
      </c>
      <c r="C34" s="35"/>
      <c r="D34" s="36"/>
      <c r="E34" s="37"/>
      <c r="F34" s="16">
        <f t="shared" si="5"/>
        <v>0</v>
      </c>
      <c r="G34" s="25"/>
      <c r="H34" s="21" t="s">
        <v>50</v>
      </c>
      <c r="I34" s="62">
        <v>300000</v>
      </c>
      <c r="J34" s="63" t="s">
        <v>22</v>
      </c>
      <c r="K34" s="58" t="s">
        <v>52</v>
      </c>
      <c r="L34" s="60" t="s">
        <v>51</v>
      </c>
      <c r="M34" s="61"/>
      <c r="N34" s="61"/>
      <c r="O34" s="60"/>
    </row>
    <row r="35" s="1" customFormat="1" ht="18" customHeight="1" spans="1:15">
      <c r="A35" s="34"/>
      <c r="B35" s="16">
        <f t="shared" si="4"/>
        <v>0</v>
      </c>
      <c r="C35" s="35"/>
      <c r="D35" s="36"/>
      <c r="E35" s="37"/>
      <c r="F35" s="16">
        <f t="shared" si="5"/>
        <v>0</v>
      </c>
      <c r="G35" s="25"/>
      <c r="H35" s="21" t="s">
        <v>53</v>
      </c>
      <c r="I35" s="62">
        <v>1000000</v>
      </c>
      <c r="J35" s="63" t="s">
        <v>22</v>
      </c>
      <c r="K35" s="58" t="s">
        <v>21</v>
      </c>
      <c r="L35" s="60" t="s">
        <v>51</v>
      </c>
      <c r="M35" s="61"/>
      <c r="N35" s="61"/>
      <c r="O35" s="60"/>
    </row>
    <row r="36" s="1" customFormat="1" ht="18" customHeight="1" spans="1:15">
      <c r="A36" s="34">
        <v>43252</v>
      </c>
      <c r="B36" s="16">
        <f t="shared" si="4"/>
        <v>679611.65</v>
      </c>
      <c r="C36" s="35"/>
      <c r="D36" s="36"/>
      <c r="E36" s="37">
        <v>0.03</v>
      </c>
      <c r="F36" s="16">
        <f t="shared" si="5"/>
        <v>20388.35</v>
      </c>
      <c r="G36" s="25">
        <v>700000</v>
      </c>
      <c r="H36" s="21"/>
      <c r="I36" s="22"/>
      <c r="J36" s="50"/>
      <c r="K36" s="57" t="s">
        <v>21</v>
      </c>
      <c r="L36" s="60"/>
      <c r="M36" s="61"/>
      <c r="N36" s="61"/>
      <c r="O36" s="60"/>
    </row>
    <row r="37" s="1" customFormat="1" ht="18" customHeight="1" spans="1:15">
      <c r="A37" s="34"/>
      <c r="B37" s="16">
        <f t="shared" si="4"/>
        <v>0</v>
      </c>
      <c r="C37" s="35"/>
      <c r="D37" s="36"/>
      <c r="E37" s="37"/>
      <c r="F37" s="16">
        <f t="shared" si="5"/>
        <v>0</v>
      </c>
      <c r="G37" s="25"/>
      <c r="H37" s="21" t="s">
        <v>54</v>
      </c>
      <c r="I37" s="22">
        <v>306655</v>
      </c>
      <c r="J37" s="50" t="s">
        <v>22</v>
      </c>
      <c r="K37" s="57" t="s">
        <v>21</v>
      </c>
      <c r="L37" s="60"/>
      <c r="M37" s="61"/>
      <c r="N37" s="61"/>
      <c r="O37" s="60"/>
    </row>
    <row r="38" s="1" customFormat="1" ht="18" customHeight="1" spans="1:15">
      <c r="A38" s="34"/>
      <c r="B38" s="16">
        <f t="shared" si="4"/>
        <v>0</v>
      </c>
      <c r="C38" s="35"/>
      <c r="D38" s="36"/>
      <c r="E38" s="37"/>
      <c r="F38" s="16">
        <f t="shared" si="5"/>
        <v>0</v>
      </c>
      <c r="G38" s="25"/>
      <c r="H38" s="21" t="s">
        <v>56</v>
      </c>
      <c r="I38" s="62">
        <v>500000</v>
      </c>
      <c r="J38" s="63" t="s">
        <v>22</v>
      </c>
      <c r="K38" s="58" t="s">
        <v>21</v>
      </c>
      <c r="L38" s="60" t="s">
        <v>51</v>
      </c>
      <c r="M38" s="61"/>
      <c r="N38" s="61"/>
      <c r="O38" s="60"/>
    </row>
    <row r="39" s="1" customFormat="1" ht="18" customHeight="1" spans="1:15">
      <c r="A39" s="34">
        <v>43313</v>
      </c>
      <c r="B39" s="16">
        <f t="shared" si="4"/>
        <v>150000</v>
      </c>
      <c r="C39" s="35"/>
      <c r="D39" s="36"/>
      <c r="E39" s="37"/>
      <c r="F39" s="16">
        <f t="shared" si="5"/>
        <v>0</v>
      </c>
      <c r="G39" s="25">
        <v>150000</v>
      </c>
      <c r="H39" s="21"/>
      <c r="I39" s="22"/>
      <c r="J39" s="50"/>
      <c r="K39" s="57" t="s">
        <v>57</v>
      </c>
      <c r="L39" s="60" t="s">
        <v>58</v>
      </c>
      <c r="M39" s="61"/>
      <c r="N39" s="61"/>
      <c r="O39" s="60"/>
    </row>
    <row r="40" s="1" customFormat="1" ht="18" customHeight="1" spans="1:15">
      <c r="A40" s="34"/>
      <c r="B40" s="38">
        <f>G40-F40</f>
        <v>1749024.49</v>
      </c>
      <c r="C40" s="39"/>
      <c r="D40" s="40"/>
      <c r="E40" s="41"/>
      <c r="F40" s="38">
        <v>52470.73</v>
      </c>
      <c r="G40" s="42">
        <v>1801495.22</v>
      </c>
      <c r="H40" s="43"/>
      <c r="I40" s="38"/>
      <c r="J40" s="64"/>
      <c r="K40" s="65" t="s">
        <v>21</v>
      </c>
      <c r="L40" s="65" t="s">
        <v>59</v>
      </c>
      <c r="M40" s="61"/>
      <c r="N40" s="61"/>
      <c r="O40" s="60"/>
    </row>
    <row r="41" s="1" customFormat="1" ht="18" customHeight="1" spans="1:15">
      <c r="A41" s="34"/>
      <c r="B41" s="16">
        <f t="shared" si="4"/>
        <v>0</v>
      </c>
      <c r="C41" s="35"/>
      <c r="D41" s="36"/>
      <c r="E41" s="37"/>
      <c r="F41" s="16">
        <f t="shared" si="5"/>
        <v>0</v>
      </c>
      <c r="G41" s="25"/>
      <c r="H41" s="21" t="s">
        <v>60</v>
      </c>
      <c r="I41" s="22">
        <v>150000</v>
      </c>
      <c r="J41" s="50" t="s">
        <v>43</v>
      </c>
      <c r="K41" s="57" t="s">
        <v>57</v>
      </c>
      <c r="L41" s="60"/>
      <c r="M41" s="61"/>
      <c r="N41" s="61"/>
      <c r="O41" s="60"/>
    </row>
    <row r="42" s="1" customFormat="1" ht="18" customHeight="1" spans="1:15">
      <c r="A42" s="34"/>
      <c r="B42" s="16">
        <f>G42-F42</f>
        <v>265486.74</v>
      </c>
      <c r="C42" s="35"/>
      <c r="D42" s="36"/>
      <c r="E42" s="37">
        <v>0.13</v>
      </c>
      <c r="F42" s="16">
        <v>34513.26</v>
      </c>
      <c r="G42" s="25">
        <v>300000</v>
      </c>
      <c r="H42" s="21">
        <v>43699</v>
      </c>
      <c r="I42" s="22"/>
      <c r="J42" s="50"/>
      <c r="K42" s="57" t="s">
        <v>52</v>
      </c>
      <c r="L42" s="60"/>
      <c r="M42" s="61"/>
      <c r="N42" s="61"/>
      <c r="O42" s="60"/>
    </row>
    <row r="43" s="1" customFormat="1" ht="18" customHeight="1" spans="1:15">
      <c r="A43" s="34"/>
      <c r="B43" s="16"/>
      <c r="C43" s="35"/>
      <c r="D43" s="36"/>
      <c r="E43" s="37"/>
      <c r="F43" s="16"/>
      <c r="G43" s="25"/>
      <c r="H43" s="21"/>
      <c r="I43" s="22"/>
      <c r="J43" s="50"/>
      <c r="K43" s="57"/>
      <c r="L43" s="60"/>
      <c r="M43" s="61"/>
      <c r="N43" s="61"/>
      <c r="O43" s="60"/>
    </row>
    <row r="44" s="1" customFormat="1" ht="18" customHeight="1" spans="1:15">
      <c r="A44" s="34"/>
      <c r="B44" s="16">
        <f t="shared" si="4"/>
        <v>0</v>
      </c>
      <c r="C44" s="35"/>
      <c r="D44" s="36"/>
      <c r="E44" s="37"/>
      <c r="F44" s="16">
        <f t="shared" si="5"/>
        <v>0</v>
      </c>
      <c r="G44" s="25"/>
      <c r="H44" s="21" t="s">
        <v>66</v>
      </c>
      <c r="I44" s="22">
        <v>4520</v>
      </c>
      <c r="J44" s="50" t="s">
        <v>64</v>
      </c>
      <c r="K44" s="57" t="s">
        <v>67</v>
      </c>
      <c r="L44" s="60"/>
      <c r="M44" s="61"/>
      <c r="N44" s="61"/>
      <c r="O44" s="60"/>
    </row>
    <row r="45" s="1" customFormat="1" ht="18" customHeight="1" spans="1:15">
      <c r="A45" s="34"/>
      <c r="B45" s="16">
        <f t="shared" si="4"/>
        <v>0</v>
      </c>
      <c r="C45" s="35"/>
      <c r="D45" s="36"/>
      <c r="E45" s="37"/>
      <c r="F45" s="16">
        <f t="shared" si="5"/>
        <v>0</v>
      </c>
      <c r="G45" s="25"/>
      <c r="H45" s="21" t="s">
        <v>68</v>
      </c>
      <c r="I45" s="22">
        <v>-336840.22</v>
      </c>
      <c r="J45" s="50" t="s">
        <v>69</v>
      </c>
      <c r="K45" s="57" t="s">
        <v>70</v>
      </c>
      <c r="L45" s="60"/>
      <c r="M45" s="61"/>
      <c r="N45" s="61"/>
      <c r="O45" s="60"/>
    </row>
    <row r="46" s="1" customFormat="1" ht="18" customHeight="1" spans="1:15">
      <c r="A46" s="34"/>
      <c r="B46" s="16">
        <f t="shared" si="4"/>
        <v>0</v>
      </c>
      <c r="C46" s="35"/>
      <c r="D46" s="36"/>
      <c r="E46" s="37"/>
      <c r="F46" s="16">
        <f t="shared" si="5"/>
        <v>0</v>
      </c>
      <c r="G46" s="25"/>
      <c r="H46" s="21" t="s">
        <v>68</v>
      </c>
      <c r="I46" s="22">
        <v>2000</v>
      </c>
      <c r="J46" s="50" t="s">
        <v>64</v>
      </c>
      <c r="K46" s="57" t="s">
        <v>71</v>
      </c>
      <c r="L46" s="60"/>
      <c r="M46" s="61"/>
      <c r="N46" s="61"/>
      <c r="O46" s="60"/>
    </row>
    <row r="47" s="1" customFormat="1" ht="18" customHeight="1" spans="1:15">
      <c r="A47" s="34"/>
      <c r="B47" s="16">
        <f t="shared" si="4"/>
        <v>0</v>
      </c>
      <c r="C47" s="35"/>
      <c r="D47" s="36"/>
      <c r="E47" s="37"/>
      <c r="F47" s="16">
        <f t="shared" si="5"/>
        <v>0</v>
      </c>
      <c r="G47" s="25"/>
      <c r="H47" s="21" t="s">
        <v>72</v>
      </c>
      <c r="I47" s="22">
        <v>256840.22</v>
      </c>
      <c r="J47" s="50" t="s">
        <v>73</v>
      </c>
      <c r="K47" s="57" t="s">
        <v>70</v>
      </c>
      <c r="L47" s="60"/>
      <c r="M47" s="61"/>
      <c r="N47" s="61"/>
      <c r="O47" s="60"/>
    </row>
    <row r="48" s="1" customFormat="1" ht="18" customHeight="1" spans="1:15">
      <c r="A48" s="34"/>
      <c r="B48" s="16">
        <f t="shared" si="4"/>
        <v>0</v>
      </c>
      <c r="C48" s="35"/>
      <c r="D48" s="36"/>
      <c r="E48" s="37"/>
      <c r="F48" s="16">
        <f t="shared" si="5"/>
        <v>0</v>
      </c>
      <c r="G48" s="25"/>
      <c r="H48" s="21" t="s">
        <v>72</v>
      </c>
      <c r="I48" s="22">
        <v>17159.78</v>
      </c>
      <c r="J48" s="50" t="s">
        <v>64</v>
      </c>
      <c r="K48" s="57" t="s">
        <v>74</v>
      </c>
      <c r="L48" s="60"/>
      <c r="M48" s="61"/>
      <c r="N48" s="61"/>
      <c r="O48" s="60"/>
    </row>
    <row r="49" s="1" customFormat="1" ht="18" customHeight="1" spans="1:15">
      <c r="A49" s="34"/>
      <c r="B49" s="16">
        <f t="shared" si="4"/>
        <v>0</v>
      </c>
      <c r="C49" s="35"/>
      <c r="D49" s="36"/>
      <c r="E49" s="37"/>
      <c r="F49" s="16">
        <f t="shared" si="5"/>
        <v>0</v>
      </c>
      <c r="G49" s="25"/>
      <c r="H49" s="21" t="s">
        <v>75</v>
      </c>
      <c r="I49" s="22">
        <v>80000</v>
      </c>
      <c r="J49" s="50" t="s">
        <v>73</v>
      </c>
      <c r="K49" s="57" t="s">
        <v>70</v>
      </c>
      <c r="L49" s="60"/>
      <c r="M49" s="61"/>
      <c r="N49" s="61"/>
      <c r="O49" s="60"/>
    </row>
    <row r="50" s="1" customFormat="1" ht="18" customHeight="1" spans="1:15">
      <c r="A50" s="34"/>
      <c r="B50" s="16">
        <f t="shared" si="4"/>
        <v>0</v>
      </c>
      <c r="C50" s="35"/>
      <c r="D50" s="36"/>
      <c r="E50" s="37"/>
      <c r="F50" s="16">
        <f t="shared" si="5"/>
        <v>0</v>
      </c>
      <c r="G50" s="25"/>
      <c r="H50" s="21" t="s">
        <v>75</v>
      </c>
      <c r="I50" s="22">
        <v>700</v>
      </c>
      <c r="J50" s="50" t="s">
        <v>64</v>
      </c>
      <c r="K50" s="57" t="s">
        <v>71</v>
      </c>
      <c r="L50" s="60"/>
      <c r="M50" s="61"/>
      <c r="N50" s="61"/>
      <c r="O50" s="60"/>
    </row>
    <row r="51" s="1" customFormat="1" ht="18" customHeight="1" spans="1:15">
      <c r="A51" s="34"/>
      <c r="B51" s="16">
        <f t="shared" si="4"/>
        <v>0</v>
      </c>
      <c r="C51" s="35"/>
      <c r="D51" s="36"/>
      <c r="E51" s="37"/>
      <c r="F51" s="16">
        <f t="shared" si="5"/>
        <v>0</v>
      </c>
      <c r="G51" s="25"/>
      <c r="H51" s="21" t="s">
        <v>75</v>
      </c>
      <c r="I51" s="22">
        <v>19731.95</v>
      </c>
      <c r="J51" s="50" t="s">
        <v>64</v>
      </c>
      <c r="K51" s="57" t="s">
        <v>74</v>
      </c>
      <c r="L51" s="60"/>
      <c r="M51" s="61"/>
      <c r="N51" s="61"/>
      <c r="O51" s="60"/>
    </row>
    <row r="52" s="1" customFormat="1" ht="18" customHeight="1" spans="1:15">
      <c r="A52" s="34"/>
      <c r="B52" s="16">
        <f t="shared" si="4"/>
        <v>42325</v>
      </c>
      <c r="C52" s="35"/>
      <c r="D52" s="36"/>
      <c r="E52" s="37"/>
      <c r="F52" s="16">
        <f t="shared" si="5"/>
        <v>0</v>
      </c>
      <c r="G52" s="25">
        <f>14500+16000+11825</f>
        <v>42325</v>
      </c>
      <c r="H52" s="21"/>
      <c r="I52" s="22">
        <f>G52</f>
        <v>42325</v>
      </c>
      <c r="J52" s="50" t="s">
        <v>64</v>
      </c>
      <c r="K52" s="57" t="s">
        <v>65</v>
      </c>
      <c r="L52" s="60"/>
      <c r="M52" s="61"/>
      <c r="N52" s="61"/>
      <c r="O52" s="60"/>
    </row>
    <row r="53" s="1" customFormat="1" ht="18" customHeight="1" spans="1:15">
      <c r="A53" s="34"/>
      <c r="B53" s="16">
        <f t="shared" si="4"/>
        <v>0</v>
      </c>
      <c r="C53" s="35"/>
      <c r="D53" s="36"/>
      <c r="E53" s="37"/>
      <c r="F53" s="16">
        <f t="shared" si="5"/>
        <v>0</v>
      </c>
      <c r="G53" s="25"/>
      <c r="H53" s="21"/>
      <c r="I53" s="22"/>
      <c r="J53" s="50"/>
      <c r="K53" s="57"/>
      <c r="L53" s="60"/>
      <c r="M53" s="61"/>
      <c r="N53" s="61"/>
      <c r="O53" s="60"/>
    </row>
    <row r="54" ht="18" customHeight="1" spans="1:15">
      <c r="A54" s="29" t="s">
        <v>23</v>
      </c>
      <c r="B54" s="28">
        <f>SUM(B15:B53)</f>
        <v>3947338.99</v>
      </c>
      <c r="C54" s="29"/>
      <c r="D54" s="44"/>
      <c r="E54" s="44"/>
      <c r="F54" s="31">
        <f>SUM(F15:F53)</f>
        <v>182656.23</v>
      </c>
      <c r="G54" s="45">
        <f>SUM(G15:G53)</f>
        <v>4129995.22</v>
      </c>
      <c r="H54" s="46"/>
      <c r="I54" s="30">
        <f>SUM(I15:I53)</f>
        <v>4193000</v>
      </c>
      <c r="J54" s="66"/>
      <c r="K54" s="44"/>
      <c r="L54" s="32"/>
      <c r="M54" s="50"/>
      <c r="N54" s="50"/>
      <c r="O54" s="32"/>
    </row>
    <row r="55" ht="18" customHeight="1" spans="1:14">
      <c r="A55" s="47" t="s">
        <v>76</v>
      </c>
      <c r="B55" s="48">
        <f>B12-B54</f>
        <v>263212.237539466</v>
      </c>
      <c r="C55" s="47"/>
      <c r="D55" s="49"/>
      <c r="E55" s="49"/>
      <c r="F55" s="48"/>
      <c r="G55" s="48">
        <f>G12-G54</f>
        <v>-2436995.22</v>
      </c>
      <c r="H55" s="20" t="s">
        <v>77</v>
      </c>
      <c r="I55" s="30">
        <f>I12-I54</f>
        <v>-2500000</v>
      </c>
      <c r="J55" s="6"/>
      <c r="K55" s="67"/>
      <c r="M55" s="68"/>
      <c r="N55" s="68"/>
    </row>
    <row r="56" ht="18" customHeight="1" spans="1:13">
      <c r="A56" s="2" t="s">
        <v>78</v>
      </c>
      <c r="C56" s="2"/>
      <c r="M56" s="6" t="s">
        <v>79</v>
      </c>
    </row>
    <row r="57" ht="18" customHeight="1" spans="1:12">
      <c r="A57" s="20" t="s">
        <v>80</v>
      </c>
      <c r="B57" s="19" t="s">
        <v>81</v>
      </c>
      <c r="C57" s="32"/>
      <c r="D57" s="20" t="s">
        <v>80</v>
      </c>
      <c r="E57" s="18" t="s">
        <v>16</v>
      </c>
      <c r="F57" s="19" t="s">
        <v>81</v>
      </c>
      <c r="G57" s="19" t="s">
        <v>82</v>
      </c>
      <c r="H57" s="19" t="s">
        <v>83</v>
      </c>
      <c r="I57" s="19" t="s">
        <v>84</v>
      </c>
      <c r="K57" s="3">
        <f>I48/1.1</f>
        <v>15599.8</v>
      </c>
      <c r="L57" s="3"/>
    </row>
    <row r="58" ht="18" customHeight="1" spans="1:17">
      <c r="A58" s="32" t="s">
        <v>85</v>
      </c>
      <c r="B58" s="16">
        <f>(B12-B54)*0.25</f>
        <v>65803.0593848666</v>
      </c>
      <c r="C58" s="32"/>
      <c r="D58" s="9" t="s">
        <v>86</v>
      </c>
      <c r="E58" s="50" t="s">
        <v>87</v>
      </c>
      <c r="F58" s="51">
        <f>F12-F54</f>
        <v>-49337.3110810811</v>
      </c>
      <c r="G58" s="51">
        <f>F8-F17</f>
        <v>17938.137027027</v>
      </c>
      <c r="H58" s="51">
        <f>F9-F24-F29</f>
        <v>15599.8018918919</v>
      </c>
      <c r="I58" s="51">
        <f>F10-F31-F36</f>
        <v>4108.73999999999</v>
      </c>
      <c r="K58" s="3">
        <f>F9-K57</f>
        <v>36292.0918918919</v>
      </c>
      <c r="Q58" s="6" t="s">
        <v>79</v>
      </c>
    </row>
    <row r="59" ht="18" customHeight="1" spans="1:11">
      <c r="A59" s="32" t="s">
        <v>88</v>
      </c>
      <c r="B59" s="52" t="s">
        <v>89</v>
      </c>
      <c r="C59" s="32"/>
      <c r="D59" s="53" t="s">
        <v>90</v>
      </c>
      <c r="E59" s="13">
        <v>0.05</v>
      </c>
      <c r="F59" s="22">
        <f>F58*E59</f>
        <v>-2466.86555405406</v>
      </c>
      <c r="G59" s="22"/>
      <c r="H59" s="22"/>
      <c r="I59" s="22"/>
      <c r="K59" s="6">
        <f>I44/1.1</f>
        <v>4109.09090909091</v>
      </c>
    </row>
    <row r="60" ht="18" customHeight="1" spans="1:11">
      <c r="A60" s="32" t="s">
        <v>91</v>
      </c>
      <c r="B60" s="52" t="s">
        <v>89</v>
      </c>
      <c r="C60" s="32"/>
      <c r="D60" s="53" t="s">
        <v>92</v>
      </c>
      <c r="E60" s="13">
        <v>0.03</v>
      </c>
      <c r="F60" s="22">
        <f>F58*E60</f>
        <v>-1480.11933243243</v>
      </c>
      <c r="G60" s="22"/>
      <c r="H60" s="22"/>
      <c r="I60" s="22"/>
      <c r="K60" s="3">
        <f>F10-K59</f>
        <v>30290.9090909091</v>
      </c>
    </row>
    <row r="61" ht="18" customHeight="1" spans="1:12">
      <c r="A61" s="32"/>
      <c r="B61" s="22"/>
      <c r="C61" s="32"/>
      <c r="D61" s="53" t="s">
        <v>93</v>
      </c>
      <c r="E61" s="13">
        <v>0.02</v>
      </c>
      <c r="F61" s="22">
        <f>F58*E61</f>
        <v>-986.746221621622</v>
      </c>
      <c r="G61" s="22"/>
      <c r="H61" s="22"/>
      <c r="I61" s="22"/>
      <c r="L61" s="6" t="s">
        <v>79</v>
      </c>
    </row>
    <row r="62" ht="18" customHeight="1" spans="1:9">
      <c r="A62" s="27" t="s">
        <v>94</v>
      </c>
      <c r="B62" s="28">
        <f>SUM(B58:B61)</f>
        <v>65803.0593848666</v>
      </c>
      <c r="C62" s="32"/>
      <c r="D62" s="27" t="s">
        <v>94</v>
      </c>
      <c r="E62" s="27"/>
      <c r="F62" s="31">
        <f>SUM(F58:F61)</f>
        <v>-54271.0421891892</v>
      </c>
      <c r="G62" s="31"/>
      <c r="H62" s="31"/>
      <c r="I62" s="31"/>
    </row>
    <row r="63" ht="18" customHeight="1" spans="3:9">
      <c r="C63" s="2"/>
      <c r="D63" s="29" t="s">
        <v>23</v>
      </c>
      <c r="E63" s="29"/>
      <c r="F63" s="30">
        <f>F62</f>
        <v>-54271.0421891892</v>
      </c>
      <c r="G63" s="30"/>
      <c r="H63" s="30"/>
      <c r="I63" s="30"/>
    </row>
    <row r="64" ht="18" customHeight="1" spans="3:9">
      <c r="C64" s="2"/>
      <c r="I64" s="3">
        <f>I51/1.1</f>
        <v>17938.1363636364</v>
      </c>
    </row>
    <row r="65" ht="18" customHeight="1" spans="3:9">
      <c r="C65" s="2"/>
      <c r="I65" s="3">
        <f>F8-I64</f>
        <v>29088.8906633907</v>
      </c>
    </row>
    <row r="66" ht="18" customHeight="1" spans="3:3">
      <c r="C66" s="2"/>
    </row>
    <row r="67" ht="18" customHeight="1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</sheetData>
  <autoFilter ref="A14:Q6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2021-11-25T04:49:48Z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F00AB8B2294D475BB024DEAB00D45002</vt:lpwstr>
  </property>
</Properties>
</file>