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2540"/>
  </bookViews>
  <sheets>
    <sheet name="新" sheetId="2" r:id="rId1"/>
    <sheet name="旧" sheetId="1" r:id="rId2"/>
    <sheet name="供应商支付情况" sheetId="3" r:id="rId3"/>
  </sheets>
  <definedNames>
    <definedName name="_xlnm._FilterDatabase" localSheetId="0" hidden="1">新!$A$14:$O$85</definedName>
  </definedNames>
  <calcPr calcId="144525" concurrentCalc="0"/>
  <pivotCaches>
    <pivotCache cacheId="4" r:id="rId4"/>
  </pivotCaches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2" i="3"/>
  <c r="G66" i="1"/>
  <c r="F64" i="1"/>
  <c r="G63" i="1"/>
  <c r="F63" i="1"/>
  <c r="B63" i="1"/>
  <c r="G62" i="1"/>
  <c r="F62" i="1"/>
  <c r="G61" i="1"/>
  <c r="F61" i="1"/>
  <c r="G60" i="1"/>
  <c r="F60" i="1"/>
  <c r="G59" i="1"/>
  <c r="F59" i="1"/>
  <c r="B59" i="1"/>
  <c r="K58" i="1"/>
  <c r="I56" i="1"/>
  <c r="G56" i="1"/>
  <c r="B56" i="1"/>
  <c r="I55" i="1"/>
  <c r="G55" i="1"/>
  <c r="F55" i="1"/>
  <c r="B55" i="1"/>
  <c r="F54" i="1"/>
  <c r="B54" i="1"/>
  <c r="F53" i="1"/>
  <c r="B53" i="1"/>
  <c r="I52" i="1"/>
  <c r="G52" i="1"/>
  <c r="F52" i="1"/>
  <c r="B52" i="1"/>
  <c r="F51" i="1"/>
  <c r="B51" i="1"/>
  <c r="F50" i="1"/>
  <c r="B50" i="1"/>
  <c r="I49" i="1"/>
  <c r="G49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I13" i="1"/>
  <c r="G13" i="1"/>
  <c r="F13" i="1"/>
  <c r="D13" i="1"/>
  <c r="B13" i="1"/>
  <c r="F12" i="1"/>
  <c r="D12" i="1"/>
  <c r="B12" i="1"/>
  <c r="F11" i="1"/>
  <c r="D11" i="1"/>
  <c r="B11" i="1"/>
  <c r="F10" i="1"/>
  <c r="D10" i="1"/>
  <c r="B10" i="1"/>
  <c r="F9" i="1"/>
  <c r="D9" i="1"/>
  <c r="B9" i="1"/>
  <c r="F8" i="1"/>
  <c r="D8" i="1"/>
  <c r="B8" i="1"/>
  <c r="F7" i="1"/>
  <c r="D7" i="1"/>
  <c r="B7" i="1"/>
  <c r="I85" i="2"/>
  <c r="F85" i="2"/>
  <c r="I84" i="2"/>
  <c r="G84" i="2"/>
  <c r="F84" i="2"/>
  <c r="B84" i="2"/>
  <c r="I83" i="2"/>
  <c r="G83" i="2"/>
  <c r="F83" i="2"/>
  <c r="I82" i="2"/>
  <c r="G82" i="2"/>
  <c r="F82" i="2"/>
  <c r="I81" i="2"/>
  <c r="G81" i="2"/>
  <c r="F81" i="2"/>
  <c r="I80" i="2"/>
  <c r="G80" i="2"/>
  <c r="F80" i="2"/>
  <c r="B80" i="2"/>
  <c r="I77" i="2"/>
  <c r="G77" i="2"/>
  <c r="B77" i="2"/>
  <c r="I76" i="2"/>
  <c r="G76" i="2"/>
  <c r="F76" i="2"/>
  <c r="B76" i="2"/>
  <c r="F75" i="2"/>
  <c r="B75" i="2"/>
  <c r="F74" i="2"/>
  <c r="B74" i="2"/>
  <c r="I73" i="2"/>
  <c r="G73" i="2"/>
  <c r="F73" i="2"/>
  <c r="B73" i="2"/>
  <c r="F72" i="2"/>
  <c r="B72" i="2"/>
  <c r="F71" i="2"/>
  <c r="B71" i="2"/>
  <c r="I70" i="2"/>
  <c r="G70" i="2"/>
  <c r="F70" i="2"/>
  <c r="B70" i="2"/>
  <c r="F69" i="2"/>
  <c r="B69" i="2"/>
  <c r="F68" i="2"/>
  <c r="B68" i="2"/>
  <c r="F67" i="2"/>
  <c r="B67" i="2"/>
  <c r="F66" i="2"/>
  <c r="B66" i="2"/>
  <c r="F62" i="2"/>
  <c r="B62" i="2"/>
  <c r="F61" i="2"/>
  <c r="B61" i="2"/>
  <c r="F57" i="2"/>
  <c r="B57" i="2"/>
  <c r="F56" i="2"/>
  <c r="B56" i="2"/>
  <c r="F55" i="2"/>
  <c r="B55" i="2"/>
  <c r="F54" i="2"/>
  <c r="B54" i="2"/>
  <c r="F53" i="2"/>
  <c r="B53" i="2"/>
  <c r="F52" i="2"/>
  <c r="B52" i="2"/>
  <c r="F51" i="2"/>
  <c r="B51" i="2"/>
  <c r="F50" i="2"/>
  <c r="B50" i="2"/>
  <c r="F49" i="2"/>
  <c r="B49" i="2"/>
  <c r="F48" i="2"/>
  <c r="B48" i="2"/>
  <c r="F47" i="2"/>
  <c r="B47" i="2"/>
  <c r="F46" i="2"/>
  <c r="B46" i="2"/>
  <c r="F45" i="2"/>
  <c r="B45" i="2"/>
  <c r="F44" i="2"/>
  <c r="B44" i="2"/>
  <c r="F43" i="2"/>
  <c r="B43" i="2"/>
  <c r="F42" i="2"/>
  <c r="B42" i="2"/>
  <c r="F41" i="2"/>
  <c r="B41" i="2"/>
  <c r="F40" i="2"/>
  <c r="B40" i="2"/>
  <c r="F39" i="2"/>
  <c r="B39" i="2"/>
  <c r="F38" i="2"/>
  <c r="B38" i="2"/>
  <c r="F37" i="2"/>
  <c r="B37" i="2"/>
  <c r="F36" i="2"/>
  <c r="B36" i="2"/>
  <c r="F35" i="2"/>
  <c r="B35" i="2"/>
  <c r="F34" i="2"/>
  <c r="B34" i="2"/>
  <c r="F33" i="2"/>
  <c r="B33" i="2"/>
  <c r="F32" i="2"/>
  <c r="B32" i="2"/>
  <c r="F31" i="2"/>
  <c r="B31" i="2"/>
  <c r="F30" i="2"/>
  <c r="B30" i="2"/>
  <c r="F29" i="2"/>
  <c r="B29" i="2"/>
  <c r="F28" i="2"/>
  <c r="B28" i="2"/>
  <c r="F27" i="2"/>
  <c r="B27" i="2"/>
  <c r="F26" i="2"/>
  <c r="B26" i="2"/>
  <c r="F25" i="2"/>
  <c r="B25" i="2"/>
  <c r="F24" i="2"/>
  <c r="B24" i="2"/>
  <c r="F23" i="2"/>
  <c r="B23" i="2"/>
  <c r="F22" i="2"/>
  <c r="B22" i="2"/>
  <c r="F21" i="2"/>
  <c r="B21" i="2"/>
  <c r="F20" i="2"/>
  <c r="B20" i="2"/>
  <c r="F19" i="2"/>
  <c r="B19" i="2"/>
  <c r="F18" i="2"/>
  <c r="B18" i="2"/>
  <c r="F17" i="2"/>
  <c r="B17" i="2"/>
  <c r="F16" i="2"/>
  <c r="B16" i="2"/>
  <c r="F15" i="2"/>
  <c r="B15" i="2"/>
  <c r="I12" i="2"/>
  <c r="G12" i="2"/>
  <c r="F12" i="2"/>
  <c r="D12" i="2"/>
  <c r="B12" i="2"/>
  <c r="F11" i="2"/>
  <c r="D11" i="2"/>
  <c r="B11" i="2"/>
  <c r="F10" i="2"/>
  <c r="D10" i="2"/>
  <c r="B10" i="2"/>
  <c r="F9" i="2"/>
  <c r="D9" i="2"/>
  <c r="B9" i="2"/>
  <c r="F8" i="2"/>
  <c r="D8" i="2"/>
  <c r="B8" i="2"/>
  <c r="F7" i="2"/>
  <c r="D7" i="2"/>
  <c r="B7" i="2"/>
</calcChain>
</file>

<file path=xl/comments1.xml><?xml version="1.0" encoding="utf-8"?>
<comments xmlns="http://schemas.openxmlformats.org/spreadsheetml/2006/main">
  <authors>
    <author>qyr</author>
    <author>cw05</author>
  </authors>
  <commentList>
    <comment ref="J7" authorId="0">
      <text>
        <r>
          <rPr>
            <b/>
            <sz val="9"/>
            <rFont val="宋体"/>
            <family val="3"/>
            <charset val="134"/>
          </rPr>
          <t>qyr:</t>
        </r>
        <r>
          <rPr>
            <sz val="9"/>
            <rFont val="宋体"/>
            <family val="3"/>
            <charset val="134"/>
          </rPr>
          <t xml:space="preserve">
2020.11.4此账户注销</t>
        </r>
      </text>
    </comment>
    <comment ref="A81" authorId="1">
      <text>
        <r>
          <rPr>
            <sz val="9"/>
            <rFont val="宋体"/>
            <family val="3"/>
            <charset val="134"/>
          </rPr>
          <t>cw05:
当地未缴，本地代扣代缴，含税价*0.0003。</t>
        </r>
      </text>
    </comment>
    <comment ref="A82" authorId="1">
      <text>
        <r>
          <rPr>
            <sz val="9"/>
            <rFont val="宋体"/>
            <family val="3"/>
            <charset val="134"/>
          </rPr>
          <t>cw05:
当地未缴，本地代扣代缴，不含税销售额*0.0006</t>
        </r>
      </text>
    </comment>
    <comment ref="I84" authorId="0">
      <text>
        <r>
          <rPr>
            <b/>
            <sz val="9"/>
            <rFont val="宋体"/>
            <family val="3"/>
            <charset val="134"/>
          </rPr>
          <t>qyr:2020.5.14开票税金，吴总同意后期工程款到账在里面扣除及利息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family val="3"/>
            <charset val="134"/>
          </rPr>
          <t>cw05:
填写开票数字</t>
        </r>
      </text>
    </comment>
    <comment ref="E16" authorId="0">
      <text>
        <r>
          <rPr>
            <sz val="9"/>
            <rFont val="宋体"/>
            <family val="3"/>
            <charset val="134"/>
          </rPr>
          <t>cw05:
填写专票税率</t>
        </r>
      </text>
    </comment>
    <comment ref="G16" authorId="0">
      <text>
        <r>
          <rPr>
            <sz val="9"/>
            <rFont val="宋体"/>
            <family val="3"/>
            <charset val="134"/>
          </rPr>
          <t>cw05:
填写成本发票含税金额</t>
        </r>
      </text>
    </comment>
    <comment ref="A60" authorId="0">
      <text>
        <r>
          <rPr>
            <sz val="9"/>
            <rFont val="宋体"/>
            <family val="3"/>
            <charset val="134"/>
          </rPr>
          <t>cw05:
当地未缴，本地代扣代缴，含税价*0.0003。</t>
        </r>
      </text>
    </comment>
    <comment ref="A61" authorId="0">
      <text>
        <r>
          <rPr>
            <sz val="9"/>
            <rFont val="宋体"/>
            <family val="3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<sst xmlns="http://schemas.openxmlformats.org/spreadsheetml/2006/main" count="399" uniqueCount="111">
  <si>
    <t>潜山县X013徐龙线（黄柏大桥至龙关段）改造工程（II标段）</t>
  </si>
  <si>
    <t>中标日期</t>
  </si>
  <si>
    <t>中标价</t>
  </si>
  <si>
    <t>负责人</t>
  </si>
  <si>
    <t>程金胜</t>
  </si>
  <si>
    <t>建设单位</t>
  </si>
  <si>
    <t>潜山县槎水镇人民政府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</si>
  <si>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</si>
  <si>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</si>
  <si>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</si>
  <si>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</si>
  <si>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</si>
  <si>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</si>
  <si>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</si>
  <si>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</si>
  <si>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</si>
  <si>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</si>
  <si>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</si>
  <si>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</si>
  <si>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</si>
  <si>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</si>
  <si>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17-1-</t>
  </si>
  <si>
    <t>农业银行太湖城中分理处003547</t>
  </si>
  <si>
    <t>17-6-</t>
  </si>
  <si>
    <t>中行</t>
  </si>
  <si>
    <t>18-2-2-</t>
  </si>
  <si>
    <t>18-2-</t>
  </si>
  <si>
    <t>工行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</si>
  <si>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</si>
  <si>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</si>
  <si>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</si>
  <si>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</si>
  <si>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</si>
  <si>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</si>
  <si>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</si>
  <si>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</si>
  <si>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</si>
  <si>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</si>
  <si>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</si>
  <si>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</si>
  <si>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</si>
  <si>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</si>
  <si>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</si>
  <si>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17-4-</t>
  </si>
  <si>
    <t>专</t>
  </si>
  <si>
    <t>安徽省潜山县恒远建材工贸有限公司</t>
  </si>
  <si>
    <t xml:space="preserve"> 水泥</t>
  </si>
  <si>
    <t>水泥</t>
  </si>
  <si>
    <t>项目部垫付</t>
  </si>
  <si>
    <t>17-3-</t>
  </si>
  <si>
    <t>苗木</t>
  </si>
  <si>
    <t>差旅费</t>
  </si>
  <si>
    <t>人工</t>
  </si>
  <si>
    <t>黄砂</t>
  </si>
  <si>
    <t>专代</t>
  </si>
  <si>
    <t>怀宁县枫林生态农林有限公司</t>
  </si>
  <si>
    <t>碎石1000吨</t>
  </si>
  <si>
    <t>有</t>
  </si>
  <si>
    <t>1份</t>
  </si>
  <si>
    <t>普代</t>
  </si>
  <si>
    <t>方伟</t>
  </si>
  <si>
    <t>挖掘机租赁</t>
  </si>
  <si>
    <t>江李和</t>
  </si>
  <si>
    <t>叶兵</t>
  </si>
  <si>
    <t>9份</t>
  </si>
  <si>
    <t>普</t>
  </si>
  <si>
    <t>碎石10800吨</t>
  </si>
  <si>
    <t>碎石</t>
  </si>
  <si>
    <t>4次</t>
  </si>
  <si>
    <t>扣</t>
  </si>
  <si>
    <t>成本票不足扣企税</t>
  </si>
  <si>
    <t>手续费</t>
  </si>
  <si>
    <t>账户注销王童出场</t>
  </si>
  <si>
    <t>退</t>
  </si>
  <si>
    <t>第三次暂扣款</t>
  </si>
  <si>
    <t>外经证</t>
  </si>
  <si>
    <t xml:space="preserve">潜山市环河西路（西河大桥-S342 段改建工程）资质7000+技术标2000+商务标1000+马兰辉出场300+手续费100=10400（公司代打80万利息*1%=8000）    </t>
  </si>
  <si>
    <t>补扣增值税及附加</t>
  </si>
  <si>
    <t>2020年5月份开票增值税及附加</t>
  </si>
  <si>
    <t>周转金支付材料款手续费</t>
  </si>
  <si>
    <t>3次</t>
  </si>
  <si>
    <t>暂扣</t>
  </si>
  <si>
    <t>代办费</t>
  </si>
  <si>
    <t xml:space="preserve">税金 </t>
  </si>
  <si>
    <t>2次</t>
  </si>
  <si>
    <t>全部管理费</t>
  </si>
  <si>
    <t>1次</t>
  </si>
  <si>
    <t>管理费</t>
  </si>
  <si>
    <t>尚需提供成本</t>
  </si>
  <si>
    <t>可支付金额</t>
  </si>
  <si>
    <t>公司代缴税金：</t>
  </si>
  <si>
    <t>税种</t>
  </si>
  <si>
    <t>税额</t>
  </si>
  <si>
    <t>20.1月开票扣税</t>
  </si>
  <si>
    <t>2020年5月开票扣税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</si>
  <si>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</si>
  <si>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</si>
  <si>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</si>
  <si>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</si>
  <si>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</si>
  <si>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</si>
  <si>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</si>
  <si>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</si>
  <si>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</si>
  <si>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</si>
  <si>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行标签</t>
  </si>
  <si>
    <t>(空白)</t>
  </si>
  <si>
    <t>总计</t>
  </si>
  <si>
    <t>求和项:价税合计</t>
  </si>
  <si>
    <t>求和项:付款金额</t>
  </si>
  <si>
    <t>未付款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</si>
</sst>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yyyy&quot;年&quot;m&quot;月&quot;;@"/>
    <numFmt numFmtId="177" formatCode="#,##0.00_ "/>
    <numFmt numFmtId="178" formatCode="0.00_ "/>
    <numFmt numFmtId="179" formatCode="yy/m/d;@"/>
    <numFmt numFmtId="180" formatCode="#,##0_ "/>
  </numFmts>
  <fonts count="1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family val="1"/>
    </font>
    <font>
      <b/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79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7" fontId="2" fillId="0" borderId="2" xfId="0" applyNumberFormat="1" applyFont="1" applyBorder="1" applyAlignment="1">
      <alignment vertical="center"/>
    </xf>
    <xf numFmtId="0" fontId="4" fillId="0" borderId="0" xfId="0" applyFont="1"/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9" fontId="2" fillId="0" borderId="2" xfId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9" fontId="5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" applyFont="1" applyFill="1" applyBorder="1" applyAlignment="1">
      <alignment horizontal="center" vertical="center"/>
    </xf>
    <xf numFmtId="9" fontId="1" fillId="5" borderId="2" xfId="1" applyNumberFormat="1" applyFont="1" applyFill="1" applyBorder="1" applyAlignment="1">
      <alignment horizontal="center" vertical="center"/>
    </xf>
    <xf numFmtId="178" fontId="1" fillId="2" borderId="3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4" borderId="3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vertical="center"/>
    </xf>
    <xf numFmtId="178" fontId="5" fillId="4" borderId="3" xfId="0" applyNumberFormat="1" applyFont="1" applyFill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 wrapText="1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5" fillId="3" borderId="2" xfId="0" applyNumberFormat="1" applyFont="1" applyFill="1" applyBorder="1" applyAlignment="1">
      <alignment vertical="center" wrapText="1"/>
    </xf>
    <xf numFmtId="177" fontId="5" fillId="4" borderId="2" xfId="0" applyNumberFormat="1" applyFont="1" applyFill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77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177" fontId="6" fillId="6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left" vertical="center"/>
    </xf>
    <xf numFmtId="178" fontId="2" fillId="0" borderId="4" xfId="0" applyNumberFormat="1" applyFont="1" applyBorder="1" applyAlignment="1">
      <alignment horizontal="left" vertical="center"/>
    </xf>
    <xf numFmtId="179" fontId="2" fillId="0" borderId="5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0" fillId="0" borderId="0" xfId="2" pivotButton="1" applyFont="1" applyAlignment="1">
      <alignment vertical="center"/>
    </xf>
    <xf numFmtId="43" fontId="0" fillId="0" borderId="0" xfId="2" applyFont="1" applyAlignment="1">
      <alignment vertical="center"/>
    </xf>
    <xf numFmtId="43" fontId="0" fillId="0" borderId="0" xfId="2" applyFont="1" applyAlignment="1">
      <alignment horizontal="left" vertical="center"/>
    </xf>
    <xf numFmtId="43" fontId="9" fillId="0" borderId="0" xfId="2" applyFont="1" applyAlignment="1">
      <alignment horizontal="center" vertical="center"/>
    </xf>
  </cellXfs>
  <cellStyles count="3">
    <cellStyle name="百分比" xfId="1" builtinId="5"/>
    <cellStyle name="常规" xfId="0" builtinId="0"/>
    <cellStyle name="千位分隔" xfId="2" builtinId="3"/>
  </cellStyles>
  <dxfs count="3"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微软用户" refreshedDate="45545.355970370372" createdVersion="4" refreshedVersion="4" minRefreshableVersion="3" recordCount="38">
  <cacheSource type="worksheet">
    <worksheetSource ref="A14:N52" sheet="新"/>
  </cacheSource>
  <cacheFields count="14">
    <cacheField name="认证日期" numFmtId="176">
      <sharedItems containsDate="1" containsBlank="1" containsMixedTypes="1" minDate="2017-01-01T00:00:00" maxDate="2020-10-02T00:00:00"/>
    </cacheField>
    <cacheField name="成本金额" numFmtId="177">
      <sharedItems containsSemiMixedTypes="0" containsString="0" containsNumber="1" minValue="0" maxValue="1851260"/>
    </cacheField>
    <cacheField name="份数" numFmtId="180">
      <sharedItems containsBlank="1"/>
    </cacheField>
    <cacheField name="类型" numFmtId="0">
      <sharedItems containsBlank="1"/>
    </cacheField>
    <cacheField name="税率" numFmtId="9">
      <sharedItems containsString="0" containsBlank="1" containsNumber="1" minValue="0.01" maxValue="0.17"/>
    </cacheField>
    <cacheField name="进项税额" numFmtId="177">
      <sharedItems containsSemiMixedTypes="0" containsString="0" containsNumber="1" minValue="0" maxValue="213526.14"/>
    </cacheField>
    <cacheField name="价税合计" numFmtId="177">
      <sharedItems containsString="0" containsBlank="1" containsNumber="1" minValue="57762" maxValue="1851260" count="12">
        <m/>
        <n v="230040"/>
        <n v="230000"/>
        <n v="118860"/>
        <n v="1469562.25"/>
        <n v="99450"/>
        <n v="57762"/>
        <n v="1851260"/>
        <n v="380000"/>
        <n v="750000"/>
        <n v="240000"/>
        <n v="810000"/>
      </sharedItems>
    </cacheField>
    <cacheField name="付款日期" numFmtId="179">
      <sharedItems containsDate="1" containsBlank="1" containsMixedTypes="1" minDate="2020-08-14T00:00:00" maxDate="2020-11-06T00:00:00"/>
    </cacheField>
    <cacheField name="付款金额" numFmtId="177">
      <sharedItems containsString="0" containsBlank="1" containsNumber="1" minValue="-480000" maxValue="2235054.79" count="16">
        <n v="-300000"/>
        <n v="-200000"/>
        <n v="-180000"/>
        <n v="2235054.79"/>
        <m/>
        <n v="180000"/>
        <n v="200000"/>
        <n v="300000"/>
        <n v="2161539.2400000002"/>
        <n v="500000"/>
        <n v="750000"/>
        <n v="-480000"/>
        <n v="240000"/>
        <n v="-240000"/>
        <n v="810000"/>
        <n v="30253.87"/>
      </sharedItems>
    </cacheField>
    <cacheField name="银行" numFmtId="0">
      <sharedItems containsBlank="1"/>
    </cacheField>
    <cacheField name="销货单位" numFmtId="0">
      <sharedItems containsBlank="1" count="7">
        <s v="程金胜"/>
        <s v="安徽省潜山县恒远建材工贸有限公司"/>
        <m/>
        <s v="怀宁县枫林生态农林有限公司"/>
        <s v="方伟"/>
        <s v="江李和"/>
        <s v="叶兵"/>
      </sharedItems>
    </cacheField>
    <cacheField name="货物" numFmtId="0">
      <sharedItems containsBlank="1"/>
    </cacheField>
    <cacheField name="合同" numFmtId="0">
      <sharedItems containsBlank="1"/>
    </cacheField>
    <cacheField name="发货单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m/>
    <n v="0"/>
    <m/>
    <m/>
    <m/>
    <n v="0"/>
    <x v="0"/>
    <s v="17-6-"/>
    <x v="0"/>
    <s v="徽行"/>
    <x v="0"/>
    <m/>
    <m/>
    <m/>
  </r>
  <r>
    <m/>
    <n v="0"/>
    <m/>
    <m/>
    <m/>
    <n v="0"/>
    <x v="0"/>
    <s v="17-6-"/>
    <x v="0"/>
    <s v="徽行"/>
    <x v="0"/>
    <m/>
    <m/>
    <m/>
  </r>
  <r>
    <m/>
    <n v="0"/>
    <m/>
    <m/>
    <m/>
    <n v="0"/>
    <x v="0"/>
    <s v="17-4-"/>
    <x v="0"/>
    <s v="徽行"/>
    <x v="0"/>
    <m/>
    <m/>
    <m/>
  </r>
  <r>
    <m/>
    <n v="0"/>
    <m/>
    <m/>
    <m/>
    <n v="0"/>
    <x v="0"/>
    <s v="17-1-"/>
    <x v="1"/>
    <s v="徽行"/>
    <x v="0"/>
    <m/>
    <m/>
    <m/>
  </r>
  <r>
    <m/>
    <n v="0"/>
    <m/>
    <m/>
    <m/>
    <n v="0"/>
    <x v="0"/>
    <s v="17-1-"/>
    <x v="2"/>
    <s v="徽行"/>
    <x v="0"/>
    <m/>
    <m/>
    <m/>
  </r>
  <r>
    <m/>
    <n v="0"/>
    <m/>
    <m/>
    <m/>
    <n v="0"/>
    <x v="0"/>
    <s v="17-1-"/>
    <x v="3"/>
    <s v="徽行"/>
    <x v="0"/>
    <m/>
    <m/>
    <m/>
  </r>
  <r>
    <d v="2017-01-01T00:00:00"/>
    <n v="196615.38"/>
    <m/>
    <s v="专"/>
    <n v="0.17"/>
    <n v="33424.620000000003"/>
    <x v="1"/>
    <m/>
    <x v="4"/>
    <m/>
    <x v="1"/>
    <s v=" 水泥"/>
    <m/>
    <m/>
  </r>
  <r>
    <m/>
    <n v="0"/>
    <m/>
    <m/>
    <m/>
    <n v="0"/>
    <x v="0"/>
    <s v="17-1-"/>
    <x v="5"/>
    <s v="中行"/>
    <x v="1"/>
    <m/>
    <m/>
    <m/>
  </r>
  <r>
    <d v="2017-01-01T00:00:00"/>
    <n v="196581.2"/>
    <m/>
    <s v="专"/>
    <n v="0.17"/>
    <n v="33418.800000000003"/>
    <x v="2"/>
    <m/>
    <x v="4"/>
    <m/>
    <x v="1"/>
    <s v="水泥"/>
    <m/>
    <m/>
  </r>
  <r>
    <d v="2017-01-01T00:00:00"/>
    <n v="118860"/>
    <m/>
    <m/>
    <m/>
    <n v="0"/>
    <x v="3"/>
    <m/>
    <x v="4"/>
    <m/>
    <x v="0"/>
    <s v="水泥"/>
    <m/>
    <m/>
  </r>
  <r>
    <m/>
    <n v="0"/>
    <m/>
    <m/>
    <m/>
    <n v="0"/>
    <x v="0"/>
    <s v="17-3-"/>
    <x v="6"/>
    <s v="中行"/>
    <x v="1"/>
    <m/>
    <m/>
    <m/>
  </r>
  <r>
    <m/>
    <n v="0"/>
    <m/>
    <m/>
    <m/>
    <n v="0"/>
    <x v="0"/>
    <s v="17-3-"/>
    <x v="7"/>
    <s v="中行"/>
    <x v="1"/>
    <m/>
    <m/>
    <m/>
  </r>
  <r>
    <d v="2017-06-01T00:00:00"/>
    <n v="1256036.1100000001"/>
    <m/>
    <s v="专"/>
    <n v="0.17"/>
    <n v="213526.14"/>
    <x v="4"/>
    <m/>
    <x v="4"/>
    <m/>
    <x v="1"/>
    <s v=" 水泥"/>
    <m/>
    <m/>
  </r>
  <r>
    <d v="2017-06-01T00:00:00"/>
    <n v="99450"/>
    <m/>
    <m/>
    <m/>
    <n v="0"/>
    <x v="5"/>
    <m/>
    <x v="4"/>
    <m/>
    <x v="0"/>
    <s v="苗木"/>
    <m/>
    <m/>
  </r>
  <r>
    <m/>
    <n v="0"/>
    <m/>
    <m/>
    <m/>
    <n v="0"/>
    <x v="0"/>
    <s v="17-6-"/>
    <x v="8"/>
    <s v="徽行"/>
    <x v="0"/>
    <m/>
    <m/>
    <m/>
  </r>
  <r>
    <d v="2017-06-01T00:00:00"/>
    <n v="57762"/>
    <m/>
    <m/>
    <m/>
    <n v="0"/>
    <x v="6"/>
    <m/>
    <x v="4"/>
    <m/>
    <x v="2"/>
    <s v="差旅费"/>
    <m/>
    <m/>
  </r>
  <r>
    <s v="17-6-"/>
    <n v="1851260"/>
    <m/>
    <m/>
    <m/>
    <n v="0"/>
    <x v="7"/>
    <m/>
    <x v="4"/>
    <m/>
    <x v="0"/>
    <s v="人工"/>
    <m/>
    <m/>
  </r>
  <r>
    <m/>
    <n v="0"/>
    <m/>
    <m/>
    <m/>
    <n v="0"/>
    <x v="0"/>
    <s v="17-6-"/>
    <x v="7"/>
    <s v="中行"/>
    <x v="1"/>
    <m/>
    <m/>
    <m/>
  </r>
  <r>
    <m/>
    <n v="0"/>
    <m/>
    <m/>
    <m/>
    <n v="0"/>
    <x v="0"/>
    <s v="17-6-"/>
    <x v="7"/>
    <s v="中行"/>
    <x v="1"/>
    <m/>
    <m/>
    <m/>
  </r>
  <r>
    <m/>
    <n v="0"/>
    <m/>
    <m/>
    <m/>
    <n v="0"/>
    <x v="0"/>
    <s v="17-6-"/>
    <x v="9"/>
    <s v="中行"/>
    <x v="1"/>
    <m/>
    <m/>
    <m/>
  </r>
  <r>
    <m/>
    <n v="0"/>
    <m/>
    <m/>
    <m/>
    <n v="0"/>
    <x v="0"/>
    <s v="18-2-"/>
    <x v="7"/>
    <s v="徽行"/>
    <x v="0"/>
    <m/>
    <m/>
    <m/>
  </r>
  <r>
    <s v="18-2-"/>
    <n v="380000"/>
    <m/>
    <m/>
    <m/>
    <n v="0"/>
    <x v="8"/>
    <m/>
    <x v="4"/>
    <m/>
    <x v="0"/>
    <s v="黄砂"/>
    <m/>
    <m/>
  </r>
  <r>
    <d v="2020-07-01T00:00:00"/>
    <n v="742574.26"/>
    <m/>
    <s v="专代"/>
    <n v="0.01"/>
    <n v="7425.74"/>
    <x v="9"/>
    <m/>
    <x v="4"/>
    <m/>
    <x v="3"/>
    <s v="碎石1000吨"/>
    <s v="有"/>
    <m/>
  </r>
  <r>
    <m/>
    <n v="0"/>
    <m/>
    <m/>
    <m/>
    <n v="0"/>
    <x v="0"/>
    <d v="2020-08-14T00:00:00"/>
    <x v="10"/>
    <s v="中行"/>
    <x v="3"/>
    <m/>
    <m/>
    <m/>
  </r>
  <r>
    <d v="2020-08-01T00:00:00"/>
    <n v="240000"/>
    <s v="1份"/>
    <s v="普代"/>
    <m/>
    <n v="0"/>
    <x v="10"/>
    <m/>
    <x v="4"/>
    <m/>
    <x v="4"/>
    <s v="挖掘机租赁"/>
    <s v="有"/>
    <m/>
  </r>
  <r>
    <d v="2020-08-01T00:00:00"/>
    <n v="240000"/>
    <s v="1份"/>
    <s v="普代"/>
    <m/>
    <n v="0"/>
    <x v="10"/>
    <m/>
    <x v="4"/>
    <m/>
    <x v="5"/>
    <s v="挖掘机租赁"/>
    <s v="有"/>
    <m/>
  </r>
  <r>
    <d v="2020-08-01T00:00:00"/>
    <n v="240000"/>
    <s v="1份"/>
    <s v="普代"/>
    <m/>
    <n v="0"/>
    <x v="10"/>
    <m/>
    <x v="4"/>
    <m/>
    <x v="6"/>
    <s v="挖掘机租赁"/>
    <s v="有"/>
    <m/>
  </r>
  <r>
    <m/>
    <n v="0"/>
    <m/>
    <m/>
    <m/>
    <n v="0"/>
    <x v="0"/>
    <d v="2020-09-27T00:00:00"/>
    <x v="11"/>
    <m/>
    <x v="0"/>
    <m/>
    <m/>
    <m/>
  </r>
  <r>
    <m/>
    <n v="0"/>
    <m/>
    <m/>
    <m/>
    <n v="0"/>
    <x v="0"/>
    <d v="2020-09-29T00:00:00"/>
    <x v="12"/>
    <m/>
    <x v="4"/>
    <m/>
    <m/>
    <m/>
  </r>
  <r>
    <m/>
    <n v="0"/>
    <m/>
    <m/>
    <m/>
    <n v="0"/>
    <x v="0"/>
    <d v="2020-09-29T00:00:00"/>
    <x v="12"/>
    <m/>
    <x v="6"/>
    <m/>
    <m/>
    <m/>
  </r>
  <r>
    <m/>
    <n v="0"/>
    <m/>
    <m/>
    <m/>
    <n v="0"/>
    <x v="0"/>
    <d v="2020-09-29T00:00:00"/>
    <x v="13"/>
    <m/>
    <x v="0"/>
    <m/>
    <m/>
    <m/>
  </r>
  <r>
    <m/>
    <n v="0"/>
    <m/>
    <m/>
    <m/>
    <n v="0"/>
    <x v="0"/>
    <d v="2020-10-12T00:00:00"/>
    <x v="12"/>
    <m/>
    <x v="5"/>
    <m/>
    <m/>
    <m/>
  </r>
  <r>
    <d v="2020-10-01T00:00:00"/>
    <n v="810000"/>
    <s v="9份"/>
    <s v="普"/>
    <m/>
    <n v="0"/>
    <x v="11"/>
    <m/>
    <x v="4"/>
    <m/>
    <x v="3"/>
    <s v="碎石10800吨"/>
    <s v="有"/>
    <m/>
  </r>
  <r>
    <m/>
    <n v="0"/>
    <m/>
    <m/>
    <m/>
    <n v="0"/>
    <x v="0"/>
    <d v="2020-11-05T00:00:00"/>
    <x v="14"/>
    <m/>
    <x v="3"/>
    <s v="碎石"/>
    <m/>
    <m/>
  </r>
  <r>
    <m/>
    <n v="0"/>
    <m/>
    <m/>
    <m/>
    <n v="0"/>
    <x v="0"/>
    <d v="2020-11-05T00:00:00"/>
    <x v="15"/>
    <m/>
    <x v="0"/>
    <m/>
    <m/>
    <m/>
  </r>
  <r>
    <m/>
    <n v="0"/>
    <m/>
    <m/>
    <m/>
    <n v="0"/>
    <x v="0"/>
    <m/>
    <x v="4"/>
    <m/>
    <x v="2"/>
    <m/>
    <m/>
    <m/>
  </r>
  <r>
    <m/>
    <n v="0"/>
    <m/>
    <m/>
    <m/>
    <n v="0"/>
    <x v="0"/>
    <m/>
    <x v="4"/>
    <m/>
    <x v="2"/>
    <m/>
    <m/>
    <m/>
  </r>
  <r>
    <m/>
    <n v="0"/>
    <m/>
    <m/>
    <m/>
    <n v="0"/>
    <x v="0"/>
    <m/>
    <x v="4"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4" applyNumberFormats="0" applyBorderFormats="0" applyFontFormats="0" applyPatternFormats="0" applyAlignmentFormats="0" applyWidthHeightFormats="1" dataCaption="值" updatedVersion="4" minRefreshableVersion="3" itemPrintTitles="1" createdVersion="4" indent="0" outline="1" outlineData="1" multipleFieldFilters="0">
  <location ref="A1:C9" firstHeaderRow="0" firstDataRow="1" firstDataCol="1"/>
  <pivotFields count="14">
    <pivotField showAll="0"/>
    <pivotField numFmtId="177" showAll="0"/>
    <pivotField showAll="0"/>
    <pivotField showAll="0"/>
    <pivotField showAll="0"/>
    <pivotField numFmtId="177" showAll="0"/>
    <pivotField dataField="1" showAll="0">
      <items count="13">
        <item x="6"/>
        <item x="5"/>
        <item x="3"/>
        <item x="2"/>
        <item x="1"/>
        <item x="10"/>
        <item x="8"/>
        <item x="9"/>
        <item x="11"/>
        <item x="4"/>
        <item x="7"/>
        <item x="0"/>
        <item t="default"/>
      </items>
    </pivotField>
    <pivotField showAll="0"/>
    <pivotField dataField="1" showAll="0">
      <items count="17">
        <item x="11"/>
        <item x="0"/>
        <item x="13"/>
        <item x="1"/>
        <item x="2"/>
        <item x="15"/>
        <item x="5"/>
        <item x="6"/>
        <item x="12"/>
        <item x="7"/>
        <item x="9"/>
        <item x="10"/>
        <item x="14"/>
        <item x="8"/>
        <item x="3"/>
        <item x="4"/>
        <item t="default"/>
      </items>
    </pivotField>
    <pivotField showAll="0"/>
    <pivotField axis="axisRow" showAll="0">
      <items count="8">
        <item x="1"/>
        <item x="0"/>
        <item x="4"/>
        <item x="3"/>
        <item x="5"/>
        <item x="6"/>
        <item x="2"/>
        <item t="default"/>
      </items>
    </pivotField>
    <pivotField showAll="0"/>
    <pivotField showAll="0"/>
    <pivotField showAll="0"/>
  </pivotFields>
  <rowFields count="1">
    <field x="1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价税合计" fld="6" baseField="10" baseItem="0"/>
    <dataField name="求和项:付款金额" fld="8" baseField="10" baseItem="0"/>
  </dataFields>
  <formats count="1">
    <format dxfId="2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5"/>
  <sheetViews>
    <sheetView tabSelected="1" topLeftCell="A10" zoomScaleNormal="100" workbookViewId="0">
      <selection activeCell="R14" sqref="R14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9.625" style="5" customWidth="1"/>
    <col min="9" max="9" width="13.875" style="4" customWidth="1"/>
    <col min="10" max="10" width="13.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spans="1:15" ht="21.95" customHeight="1">
      <c r="A1" s="81" t="s">
        <v>0</v>
      </c>
      <c r="B1" s="81"/>
      <c r="C1" s="81"/>
      <c r="D1" s="81"/>
      <c r="E1" s="81"/>
      <c r="F1" s="82"/>
      <c r="G1" s="82"/>
      <c r="H1" s="81"/>
      <c r="I1" s="82"/>
      <c r="J1" s="81"/>
      <c r="K1" s="15"/>
      <c r="L1" s="15"/>
    </row>
    <row r="2" spans="1:15" ht="18" customHeight="1">
      <c r="A2" s="8" t="s">
        <v>1</v>
      </c>
      <c r="B2" s="9">
        <v>42578</v>
      </c>
      <c r="C2" s="10" t="s">
        <v>2</v>
      </c>
      <c r="D2" s="61">
        <v>7376434.79</v>
      </c>
      <c r="E2" s="12" t="s">
        <v>3</v>
      </c>
      <c r="F2" s="10" t="s">
        <v>4</v>
      </c>
      <c r="G2" s="13" t="s">
        <v>5</v>
      </c>
      <c r="H2" s="83" t="s">
        <v>6</v>
      </c>
      <c r="I2" s="84"/>
      <c r="J2" s="85"/>
      <c r="K2" s="15"/>
      <c r="L2" s="15"/>
    </row>
    <row r="3" spans="1:15" ht="18" customHeight="1">
      <c r="A3" s="8" t="s">
        <v>7</v>
      </c>
      <c r="B3" s="14"/>
      <c r="C3" s="10" t="s">
        <v>8</v>
      </c>
      <c r="D3" s="10"/>
      <c r="H3" s="15"/>
      <c r="I3" s="52"/>
      <c r="J3" s="15"/>
      <c r="K3" s="15"/>
      <c r="L3" s="15"/>
    </row>
    <row r="4" spans="1:15" ht="18" customHeight="1">
      <c r="A4" s="3" t="s">
        <v>9</v>
      </c>
      <c r="H4" s="15"/>
      <c r="I4" s="52"/>
      <c r="J4" s="15"/>
      <c r="K4" s="15"/>
      <c r="L4" s="15"/>
    </row>
    <row r="5" spans="1:15" ht="18" customHeight="1">
      <c r="A5" s="86" t="s">
        <v>10</v>
      </c>
      <c r="B5" s="87" t="s">
        <v>11</v>
      </c>
      <c r="C5" s="86" t="s">
        <v>12</v>
      </c>
      <c r="D5" s="86"/>
      <c r="E5" s="86" t="s">
        <v>13</v>
      </c>
      <c r="F5" s="87"/>
      <c r="G5" s="87" t="s">
        <v>14</v>
      </c>
      <c r="H5" s="88" t="s">
        <v>15</v>
      </c>
      <c r="I5" s="87"/>
      <c r="J5" s="88"/>
    </row>
    <row r="6" spans="1:15" ht="18" customHeight="1">
      <c r="A6" s="86"/>
      <c r="B6" s="87"/>
      <c r="C6" s="16" t="s">
        <v>16</v>
      </c>
      <c r="D6" s="16" t="s">
        <v>17</v>
      </c>
      <c r="E6" s="16" t="s">
        <v>16</v>
      </c>
      <c r="F6" s="17" t="s">
        <v>17</v>
      </c>
      <c r="G6" s="87"/>
      <c r="H6" s="18" t="s">
        <v>18</v>
      </c>
      <c r="I6" s="17" t="s">
        <v>19</v>
      </c>
      <c r="J6" s="18" t="s">
        <v>20</v>
      </c>
    </row>
    <row r="7" spans="1:15" ht="18" customHeight="1">
      <c r="A7" s="19">
        <v>42747</v>
      </c>
      <c r="B7" s="61">
        <f t="shared" ref="B7:B11" si="0">G7/(1+C7+E7)</f>
        <v>2252252.25225225</v>
      </c>
      <c r="C7" s="21">
        <v>0.02</v>
      </c>
      <c r="D7" s="62">
        <f t="shared" ref="D7:D11" si="1">G7/(1+E7+C7)*C7</f>
        <v>45045.045045045001</v>
      </c>
      <c r="E7" s="24">
        <v>0.09</v>
      </c>
      <c r="F7" s="10">
        <f t="shared" ref="F7:F11" si="2">G7/(1+C7+E7)*E7</f>
        <v>202702.70270270301</v>
      </c>
      <c r="G7" s="63">
        <v>2500000</v>
      </c>
      <c r="H7" s="19" t="s">
        <v>21</v>
      </c>
      <c r="I7" s="10">
        <v>2500000</v>
      </c>
      <c r="J7" s="80" t="s">
        <v>22</v>
      </c>
      <c r="K7" s="69"/>
    </row>
    <row r="8" spans="1:15" ht="18" customHeight="1">
      <c r="A8" s="19">
        <v>42894</v>
      </c>
      <c r="B8" s="61">
        <f t="shared" si="0"/>
        <v>2432432.4324324299</v>
      </c>
      <c r="C8" s="21">
        <v>0.02</v>
      </c>
      <c r="D8" s="62">
        <f t="shared" si="1"/>
        <v>48648.648648648603</v>
      </c>
      <c r="E8" s="24">
        <v>0.09</v>
      </c>
      <c r="F8" s="10">
        <f t="shared" si="2"/>
        <v>218918.91891891899</v>
      </c>
      <c r="G8" s="63">
        <v>2700000</v>
      </c>
      <c r="H8" s="19" t="s">
        <v>23</v>
      </c>
      <c r="I8" s="10">
        <v>2700000</v>
      </c>
      <c r="J8" s="46" t="s">
        <v>24</v>
      </c>
    </row>
    <row r="9" spans="1:15" ht="18" customHeight="1">
      <c r="A9" s="19" t="s">
        <v>25</v>
      </c>
      <c r="B9" s="61">
        <f t="shared" si="0"/>
        <v>343376.42342342302</v>
      </c>
      <c r="C9" s="21">
        <v>0.02</v>
      </c>
      <c r="D9" s="62">
        <f t="shared" si="1"/>
        <v>6867.5284684684702</v>
      </c>
      <c r="E9" s="24">
        <v>0.09</v>
      </c>
      <c r="F9" s="10">
        <f t="shared" si="2"/>
        <v>30903.8781081081</v>
      </c>
      <c r="G9" s="63">
        <v>381147.83</v>
      </c>
      <c r="H9" s="19" t="s">
        <v>26</v>
      </c>
      <c r="I9" s="10">
        <v>381147.83</v>
      </c>
      <c r="J9" s="46" t="s">
        <v>24</v>
      </c>
    </row>
    <row r="10" spans="1:15" ht="18" customHeight="1">
      <c r="A10" s="19">
        <v>43965</v>
      </c>
      <c r="B10" s="61">
        <f t="shared" si="0"/>
        <v>1548418.5596330301</v>
      </c>
      <c r="C10" s="24">
        <v>0.02</v>
      </c>
      <c r="D10" s="62">
        <f t="shared" si="1"/>
        <v>30968.371192660499</v>
      </c>
      <c r="E10" s="24">
        <v>7.0000000000000007E-2</v>
      </c>
      <c r="F10" s="10">
        <f t="shared" si="2"/>
        <v>108389.29917431199</v>
      </c>
      <c r="G10" s="63">
        <v>1687776.23</v>
      </c>
      <c r="H10" s="19">
        <v>43976</v>
      </c>
      <c r="I10" s="10">
        <v>1324330</v>
      </c>
      <c r="J10" s="46" t="s">
        <v>27</v>
      </c>
    </row>
    <row r="11" spans="1:15" ht="18" customHeight="1">
      <c r="A11" s="19"/>
      <c r="B11" s="61">
        <f t="shared" si="0"/>
        <v>0</v>
      </c>
      <c r="C11" s="24">
        <v>0.02</v>
      </c>
      <c r="D11" s="62">
        <f t="shared" si="1"/>
        <v>0</v>
      </c>
      <c r="E11" s="24">
        <v>7.0000000000000007E-2</v>
      </c>
      <c r="F11" s="10">
        <f t="shared" si="2"/>
        <v>0</v>
      </c>
      <c r="G11" s="63"/>
      <c r="H11" s="19">
        <v>44053</v>
      </c>
      <c r="I11" s="10">
        <v>363446.23</v>
      </c>
      <c r="J11" s="46" t="s">
        <v>27</v>
      </c>
    </row>
    <row r="12" spans="1:15" ht="18" customHeight="1">
      <c r="A12" s="25" t="s">
        <v>28</v>
      </c>
      <c r="B12" s="64">
        <f>SUM(B7:B11)</f>
        <v>6576479.6677411301</v>
      </c>
      <c r="C12" s="27"/>
      <c r="D12" s="27">
        <f>SUM(D7:D9)</f>
        <v>100561.222162162</v>
      </c>
      <c r="E12" s="27"/>
      <c r="F12" s="65">
        <f>SUM(F7:F11)</f>
        <v>560914.79890404199</v>
      </c>
      <c r="G12" s="27">
        <f>SUM(G7:G11)</f>
        <v>7268924.0599999996</v>
      </c>
      <c r="H12" s="30"/>
      <c r="I12" s="27">
        <f>SUM(I7:I11)</f>
        <v>7268924.0599999996</v>
      </c>
      <c r="J12" s="30"/>
    </row>
    <row r="13" spans="1:15" ht="18" customHeight="1">
      <c r="A13" s="3" t="s">
        <v>29</v>
      </c>
      <c r="J13" s="5"/>
      <c r="K13" s="5"/>
      <c r="L13" s="6"/>
    </row>
    <row r="14" spans="1:15" ht="18" customHeight="1">
      <c r="A14" s="31" t="s">
        <v>30</v>
      </c>
      <c r="B14" s="17" t="s">
        <v>31</v>
      </c>
      <c r="C14" s="16" t="s">
        <v>32</v>
      </c>
      <c r="D14" s="16" t="s">
        <v>33</v>
      </c>
      <c r="E14" s="16" t="s">
        <v>16</v>
      </c>
      <c r="F14" s="17" t="s">
        <v>34</v>
      </c>
      <c r="G14" s="17" t="s">
        <v>14</v>
      </c>
      <c r="H14" s="16" t="s">
        <v>35</v>
      </c>
      <c r="I14" s="17" t="s">
        <v>36</v>
      </c>
      <c r="J14" s="16" t="s">
        <v>20</v>
      </c>
      <c r="K14" s="53" t="s">
        <v>37</v>
      </c>
      <c r="L14" s="18" t="s">
        <v>38</v>
      </c>
      <c r="M14" s="18" t="s">
        <v>39</v>
      </c>
      <c r="N14" s="18" t="s">
        <v>40</v>
      </c>
      <c r="O14" s="18" t="s">
        <v>41</v>
      </c>
    </row>
    <row r="15" spans="1:15" s="1" customFormat="1" ht="18" customHeight="1">
      <c r="A15" s="32"/>
      <c r="B15" s="66">
        <f t="shared" ref="B15:B43" si="3">ROUND(G15/(1+E15),2)</f>
        <v>0</v>
      </c>
      <c r="C15" s="33"/>
      <c r="D15" s="34"/>
      <c r="E15" s="35"/>
      <c r="F15" s="66">
        <f t="shared" ref="F15:F43" si="4">ROUND(G15/(1+E15)*E15,2)</f>
        <v>0</v>
      </c>
      <c r="G15" s="63"/>
      <c r="H15" s="19" t="s">
        <v>23</v>
      </c>
      <c r="I15" s="70">
        <v>-300000</v>
      </c>
      <c r="J15" s="46" t="s">
        <v>42</v>
      </c>
      <c r="K15" s="54" t="s">
        <v>4</v>
      </c>
      <c r="L15" s="55"/>
      <c r="M15" s="56"/>
      <c r="N15" s="56"/>
      <c r="O15" s="55"/>
    </row>
    <row r="16" spans="1:15" s="1" customFormat="1" ht="18" customHeight="1">
      <c r="A16" s="32"/>
      <c r="B16" s="66">
        <f t="shared" si="3"/>
        <v>0</v>
      </c>
      <c r="C16" s="33"/>
      <c r="D16" s="34"/>
      <c r="E16" s="35"/>
      <c r="F16" s="66">
        <f t="shared" si="4"/>
        <v>0</v>
      </c>
      <c r="G16" s="63"/>
      <c r="H16" s="19" t="s">
        <v>23</v>
      </c>
      <c r="I16" s="70">
        <v>-300000</v>
      </c>
      <c r="J16" s="46" t="s">
        <v>42</v>
      </c>
      <c r="K16" s="54" t="s">
        <v>4</v>
      </c>
      <c r="L16" s="55"/>
      <c r="M16" s="56"/>
      <c r="N16" s="56"/>
      <c r="O16" s="55"/>
    </row>
    <row r="17" spans="1:15" s="1" customFormat="1" ht="18" customHeight="1">
      <c r="A17" s="32"/>
      <c r="B17" s="66">
        <f t="shared" si="3"/>
        <v>0</v>
      </c>
      <c r="C17" s="33"/>
      <c r="D17" s="34"/>
      <c r="E17" s="35"/>
      <c r="F17" s="66">
        <f t="shared" si="4"/>
        <v>0</v>
      </c>
      <c r="G17" s="63"/>
      <c r="H17" s="19" t="s">
        <v>43</v>
      </c>
      <c r="I17" s="70">
        <v>-300000</v>
      </c>
      <c r="J17" s="46" t="s">
        <v>42</v>
      </c>
      <c r="K17" s="54" t="s">
        <v>4</v>
      </c>
      <c r="L17" s="55"/>
      <c r="M17" s="56"/>
      <c r="N17" s="56"/>
      <c r="O17" s="55"/>
    </row>
    <row r="18" spans="1:15" s="1" customFormat="1" ht="18" customHeight="1">
      <c r="A18" s="32"/>
      <c r="B18" s="66">
        <f t="shared" si="3"/>
        <v>0</v>
      </c>
      <c r="C18" s="33"/>
      <c r="D18" s="34"/>
      <c r="E18" s="35"/>
      <c r="F18" s="66">
        <f t="shared" si="4"/>
        <v>0</v>
      </c>
      <c r="G18" s="63"/>
      <c r="H18" s="19" t="s">
        <v>21</v>
      </c>
      <c r="I18" s="70">
        <v>-200000</v>
      </c>
      <c r="J18" s="46" t="s">
        <v>42</v>
      </c>
      <c r="K18" s="54" t="s">
        <v>4</v>
      </c>
      <c r="L18" s="55"/>
      <c r="M18" s="56"/>
      <c r="N18" s="56"/>
      <c r="O18" s="55"/>
    </row>
    <row r="19" spans="1:15" s="1" customFormat="1" ht="18" customHeight="1">
      <c r="A19" s="32"/>
      <c r="B19" s="66">
        <f t="shared" si="3"/>
        <v>0</v>
      </c>
      <c r="C19" s="33"/>
      <c r="D19" s="34"/>
      <c r="E19" s="35"/>
      <c r="F19" s="66">
        <f t="shared" si="4"/>
        <v>0</v>
      </c>
      <c r="G19" s="63"/>
      <c r="H19" s="19" t="s">
        <v>21</v>
      </c>
      <c r="I19" s="70">
        <v>-180000</v>
      </c>
      <c r="J19" s="46" t="s">
        <v>42</v>
      </c>
      <c r="K19" s="54" t="s">
        <v>4</v>
      </c>
      <c r="L19" s="55"/>
      <c r="M19" s="56"/>
      <c r="N19" s="56"/>
      <c r="O19" s="55"/>
    </row>
    <row r="20" spans="1:15" s="1" customFormat="1" ht="18" customHeight="1">
      <c r="A20" s="32"/>
      <c r="B20" s="66">
        <f t="shared" si="3"/>
        <v>0</v>
      </c>
      <c r="C20" s="33"/>
      <c r="D20" s="34"/>
      <c r="E20" s="35"/>
      <c r="F20" s="66">
        <f t="shared" si="4"/>
        <v>0</v>
      </c>
      <c r="G20" s="63"/>
      <c r="H20" s="19" t="s">
        <v>21</v>
      </c>
      <c r="I20" s="78">
        <v>2235054.79</v>
      </c>
      <c r="J20" s="46" t="s">
        <v>42</v>
      </c>
      <c r="K20" s="54" t="s">
        <v>4</v>
      </c>
      <c r="L20" s="55"/>
      <c r="M20" s="56"/>
      <c r="N20" s="56"/>
      <c r="O20" s="55"/>
    </row>
    <row r="21" spans="1:15" s="1" customFormat="1" ht="18" customHeight="1">
      <c r="A21" s="32">
        <v>42736</v>
      </c>
      <c r="B21" s="66">
        <f t="shared" si="3"/>
        <v>196615.38</v>
      </c>
      <c r="C21" s="33"/>
      <c r="D21" s="34" t="s">
        <v>44</v>
      </c>
      <c r="E21" s="36">
        <v>0.17</v>
      </c>
      <c r="F21" s="66">
        <f t="shared" si="4"/>
        <v>33424.620000000003</v>
      </c>
      <c r="G21" s="63">
        <v>230040</v>
      </c>
      <c r="H21" s="19"/>
      <c r="I21" s="70"/>
      <c r="J21" s="46"/>
      <c r="K21" s="54" t="s">
        <v>45</v>
      </c>
      <c r="L21" s="55" t="s">
        <v>46</v>
      </c>
      <c r="M21" s="56"/>
      <c r="N21" s="56"/>
      <c r="O21" s="55"/>
    </row>
    <row r="22" spans="1:15" s="1" customFormat="1" ht="18" customHeight="1">
      <c r="A22" s="32"/>
      <c r="B22" s="66">
        <f t="shared" si="3"/>
        <v>0</v>
      </c>
      <c r="C22" s="33"/>
      <c r="D22" s="34"/>
      <c r="E22" s="35"/>
      <c r="F22" s="66">
        <f t="shared" si="4"/>
        <v>0</v>
      </c>
      <c r="G22" s="63"/>
      <c r="H22" s="19" t="s">
        <v>21</v>
      </c>
      <c r="I22" s="70">
        <v>180000</v>
      </c>
      <c r="J22" s="46" t="s">
        <v>24</v>
      </c>
      <c r="K22" s="54" t="s">
        <v>45</v>
      </c>
      <c r="L22" s="55"/>
      <c r="M22" s="56"/>
      <c r="N22" s="56"/>
      <c r="O22" s="55"/>
    </row>
    <row r="23" spans="1:15" s="1" customFormat="1" ht="18" customHeight="1">
      <c r="A23" s="32">
        <v>42736</v>
      </c>
      <c r="B23" s="66">
        <f t="shared" si="3"/>
        <v>196581.2</v>
      </c>
      <c r="C23" s="33"/>
      <c r="D23" s="34" t="s">
        <v>44</v>
      </c>
      <c r="E23" s="36">
        <v>0.17</v>
      </c>
      <c r="F23" s="66">
        <f t="shared" si="4"/>
        <v>33418.800000000003</v>
      </c>
      <c r="G23" s="63">
        <v>230000</v>
      </c>
      <c r="H23" s="19"/>
      <c r="I23" s="70"/>
      <c r="J23" s="46"/>
      <c r="K23" s="54" t="s">
        <v>45</v>
      </c>
      <c r="L23" s="55" t="s">
        <v>47</v>
      </c>
      <c r="M23" s="56"/>
      <c r="N23" s="56"/>
      <c r="O23" s="55"/>
    </row>
    <row r="24" spans="1:15" s="1" customFormat="1" ht="18" customHeight="1">
      <c r="A24" s="32">
        <v>42736</v>
      </c>
      <c r="B24" s="66">
        <f t="shared" si="3"/>
        <v>118860</v>
      </c>
      <c r="C24" s="33"/>
      <c r="D24" s="34"/>
      <c r="E24" s="35"/>
      <c r="F24" s="66">
        <f t="shared" si="4"/>
        <v>0</v>
      </c>
      <c r="G24" s="63">
        <v>118860</v>
      </c>
      <c r="H24" s="19"/>
      <c r="I24" s="70"/>
      <c r="J24" s="46"/>
      <c r="K24" s="54" t="s">
        <v>4</v>
      </c>
      <c r="L24" s="55" t="s">
        <v>47</v>
      </c>
      <c r="M24" s="56"/>
      <c r="N24" s="56"/>
      <c r="O24" s="55" t="s">
        <v>48</v>
      </c>
    </row>
    <row r="25" spans="1:15" s="1" customFormat="1" ht="18" customHeight="1">
      <c r="A25" s="32"/>
      <c r="B25" s="66">
        <f t="shared" si="3"/>
        <v>0</v>
      </c>
      <c r="C25" s="33"/>
      <c r="D25" s="34"/>
      <c r="E25" s="35"/>
      <c r="F25" s="66">
        <f t="shared" si="4"/>
        <v>0</v>
      </c>
      <c r="G25" s="63"/>
      <c r="H25" s="19" t="s">
        <v>49</v>
      </c>
      <c r="I25" s="70">
        <v>200000</v>
      </c>
      <c r="J25" s="46" t="s">
        <v>24</v>
      </c>
      <c r="K25" s="54" t="s">
        <v>45</v>
      </c>
      <c r="L25" s="55"/>
      <c r="M25" s="56"/>
      <c r="N25" s="56"/>
      <c r="O25" s="55"/>
    </row>
    <row r="26" spans="1:15" s="1" customFormat="1" ht="18" customHeight="1">
      <c r="A26" s="32"/>
      <c r="B26" s="66">
        <f t="shared" si="3"/>
        <v>0</v>
      </c>
      <c r="C26" s="33"/>
      <c r="D26" s="34"/>
      <c r="E26" s="35"/>
      <c r="F26" s="66">
        <f t="shared" si="4"/>
        <v>0</v>
      </c>
      <c r="G26" s="63"/>
      <c r="H26" s="19" t="s">
        <v>49</v>
      </c>
      <c r="I26" s="70">
        <v>300000</v>
      </c>
      <c r="J26" s="46" t="s">
        <v>24</v>
      </c>
      <c r="K26" s="54" t="s">
        <v>45</v>
      </c>
      <c r="L26" s="55"/>
      <c r="M26" s="56"/>
      <c r="N26" s="56"/>
      <c r="O26" s="55"/>
    </row>
    <row r="27" spans="1:15" s="1" customFormat="1" ht="18" customHeight="1">
      <c r="A27" s="32">
        <v>42887</v>
      </c>
      <c r="B27" s="66">
        <f t="shared" si="3"/>
        <v>1256036.1100000001</v>
      </c>
      <c r="C27" s="33"/>
      <c r="D27" s="34" t="s">
        <v>44</v>
      </c>
      <c r="E27" s="36">
        <v>0.17</v>
      </c>
      <c r="F27" s="66">
        <f t="shared" si="4"/>
        <v>213526.14</v>
      </c>
      <c r="G27" s="63">
        <v>1469562.25</v>
      </c>
      <c r="H27" s="19"/>
      <c r="I27" s="70"/>
      <c r="J27" s="46"/>
      <c r="K27" s="54" t="s">
        <v>45</v>
      </c>
      <c r="L27" s="55" t="s">
        <v>46</v>
      </c>
      <c r="M27" s="56"/>
      <c r="N27" s="56"/>
      <c r="O27" s="55"/>
    </row>
    <row r="28" spans="1:15" s="1" customFormat="1" ht="18" customHeight="1">
      <c r="A28" s="32">
        <v>42887</v>
      </c>
      <c r="B28" s="66">
        <f t="shared" si="3"/>
        <v>99450</v>
      </c>
      <c r="C28" s="33"/>
      <c r="D28" s="34"/>
      <c r="E28" s="35"/>
      <c r="F28" s="66">
        <f t="shared" si="4"/>
        <v>0</v>
      </c>
      <c r="G28" s="63">
        <v>99450</v>
      </c>
      <c r="H28" s="19"/>
      <c r="I28" s="70"/>
      <c r="J28" s="46"/>
      <c r="K28" s="54" t="s">
        <v>4</v>
      </c>
      <c r="L28" s="55" t="s">
        <v>50</v>
      </c>
      <c r="M28" s="56"/>
      <c r="N28" s="56"/>
      <c r="O28" s="55" t="s">
        <v>48</v>
      </c>
    </row>
    <row r="29" spans="1:15" s="1" customFormat="1" ht="18" customHeight="1">
      <c r="A29" s="32"/>
      <c r="B29" s="66">
        <f t="shared" si="3"/>
        <v>0</v>
      </c>
      <c r="C29" s="33"/>
      <c r="D29" s="34"/>
      <c r="E29" s="35"/>
      <c r="F29" s="66">
        <f t="shared" si="4"/>
        <v>0</v>
      </c>
      <c r="G29" s="63"/>
      <c r="H29" s="19" t="s">
        <v>23</v>
      </c>
      <c r="I29" s="78">
        <v>2161539.2400000002</v>
      </c>
      <c r="J29" s="57" t="s">
        <v>42</v>
      </c>
      <c r="K29" s="54" t="s">
        <v>4</v>
      </c>
      <c r="L29" s="55"/>
      <c r="M29" s="56"/>
      <c r="N29" s="56"/>
      <c r="O29" s="55"/>
    </row>
    <row r="30" spans="1:15" s="1" customFormat="1" ht="18" customHeight="1">
      <c r="A30" s="32">
        <v>42887</v>
      </c>
      <c r="B30" s="66">
        <f t="shared" si="3"/>
        <v>57762</v>
      </c>
      <c r="C30" s="33"/>
      <c r="D30" s="34"/>
      <c r="E30" s="35"/>
      <c r="F30" s="66">
        <f t="shared" si="4"/>
        <v>0</v>
      </c>
      <c r="G30" s="63">
        <v>57762</v>
      </c>
      <c r="H30" s="19"/>
      <c r="I30" s="70"/>
      <c r="J30" s="46"/>
      <c r="K30" s="54"/>
      <c r="L30" s="55" t="s">
        <v>51</v>
      </c>
      <c r="M30" s="56"/>
      <c r="N30" s="56"/>
      <c r="O30" s="55" t="s">
        <v>48</v>
      </c>
    </row>
    <row r="31" spans="1:15" s="1" customFormat="1" ht="18" customHeight="1">
      <c r="A31" s="32" t="s">
        <v>23</v>
      </c>
      <c r="B31" s="66">
        <f t="shared" si="3"/>
        <v>1851260</v>
      </c>
      <c r="C31" s="33"/>
      <c r="D31" s="34"/>
      <c r="E31" s="35"/>
      <c r="F31" s="66">
        <f t="shared" si="4"/>
        <v>0</v>
      </c>
      <c r="G31" s="63">
        <v>1851260</v>
      </c>
      <c r="H31" s="19"/>
      <c r="I31" s="70"/>
      <c r="J31" s="46"/>
      <c r="K31" s="54" t="s">
        <v>4</v>
      </c>
      <c r="L31" s="55" t="s">
        <v>52</v>
      </c>
      <c r="M31" s="56"/>
      <c r="N31" s="56"/>
      <c r="O31" s="55"/>
    </row>
    <row r="32" spans="1:15" s="1" customFormat="1" ht="18" customHeight="1">
      <c r="A32" s="32"/>
      <c r="B32" s="66">
        <f t="shared" si="3"/>
        <v>0</v>
      </c>
      <c r="C32" s="33"/>
      <c r="D32" s="34"/>
      <c r="E32" s="35"/>
      <c r="F32" s="66">
        <f t="shared" si="4"/>
        <v>0</v>
      </c>
      <c r="G32" s="63"/>
      <c r="H32" s="19" t="s">
        <v>23</v>
      </c>
      <c r="I32" s="78">
        <v>300000</v>
      </c>
      <c r="J32" s="46" t="s">
        <v>24</v>
      </c>
      <c r="K32" s="54" t="s">
        <v>45</v>
      </c>
      <c r="L32" s="55"/>
      <c r="M32" s="56"/>
      <c r="N32" s="56"/>
      <c r="O32" s="55"/>
    </row>
    <row r="33" spans="1:15" s="1" customFormat="1" ht="18" customHeight="1">
      <c r="A33" s="32"/>
      <c r="B33" s="66">
        <f t="shared" si="3"/>
        <v>0</v>
      </c>
      <c r="C33" s="33"/>
      <c r="D33" s="34"/>
      <c r="E33" s="35"/>
      <c r="F33" s="66">
        <f t="shared" si="4"/>
        <v>0</v>
      </c>
      <c r="G33" s="63"/>
      <c r="H33" s="19" t="s">
        <v>23</v>
      </c>
      <c r="I33" s="70">
        <v>300000</v>
      </c>
      <c r="J33" s="46" t="s">
        <v>24</v>
      </c>
      <c r="K33" s="54" t="s">
        <v>45</v>
      </c>
      <c r="L33" s="55"/>
      <c r="M33" s="56"/>
      <c r="N33" s="56"/>
      <c r="O33" s="55"/>
    </row>
    <row r="34" spans="1:15" s="1" customFormat="1" ht="18" customHeight="1">
      <c r="A34" s="32"/>
      <c r="B34" s="66">
        <f t="shared" si="3"/>
        <v>0</v>
      </c>
      <c r="C34" s="33"/>
      <c r="D34" s="34"/>
      <c r="E34" s="35"/>
      <c r="F34" s="66">
        <f t="shared" si="4"/>
        <v>0</v>
      </c>
      <c r="G34" s="63"/>
      <c r="H34" s="19" t="s">
        <v>23</v>
      </c>
      <c r="I34" s="78">
        <v>500000</v>
      </c>
      <c r="J34" s="46" t="s">
        <v>24</v>
      </c>
      <c r="K34" s="54" t="s">
        <v>45</v>
      </c>
      <c r="L34" s="55"/>
      <c r="M34" s="56"/>
      <c r="N34" s="56"/>
      <c r="O34" s="55"/>
    </row>
    <row r="35" spans="1:15" s="2" customFormat="1" ht="18" customHeight="1">
      <c r="A35" s="32"/>
      <c r="B35" s="66">
        <f t="shared" si="3"/>
        <v>0</v>
      </c>
      <c r="C35" s="33"/>
      <c r="D35" s="34"/>
      <c r="E35" s="35"/>
      <c r="F35" s="66">
        <f t="shared" si="4"/>
        <v>0</v>
      </c>
      <c r="G35" s="67"/>
      <c r="H35" s="19" t="s">
        <v>26</v>
      </c>
      <c r="I35" s="10">
        <v>300000</v>
      </c>
      <c r="J35" s="57" t="s">
        <v>42</v>
      </c>
      <c r="K35" s="54" t="s">
        <v>4</v>
      </c>
      <c r="L35" s="55"/>
      <c r="M35" s="56"/>
      <c r="N35" s="56"/>
      <c r="O35" s="55"/>
    </row>
    <row r="36" spans="1:15" s="2" customFormat="1" ht="18" customHeight="1">
      <c r="A36" s="32" t="s">
        <v>26</v>
      </c>
      <c r="B36" s="66">
        <f t="shared" si="3"/>
        <v>380000</v>
      </c>
      <c r="C36" s="33"/>
      <c r="D36" s="34"/>
      <c r="E36" s="35"/>
      <c r="F36" s="66">
        <f t="shared" si="4"/>
        <v>0</v>
      </c>
      <c r="G36" s="67">
        <v>380000</v>
      </c>
      <c r="H36" s="19"/>
      <c r="I36" s="10"/>
      <c r="J36" s="57"/>
      <c r="K36" s="54" t="s">
        <v>4</v>
      </c>
      <c r="L36" s="55" t="s">
        <v>53</v>
      </c>
      <c r="M36" s="56"/>
      <c r="N36" s="56"/>
      <c r="O36" s="55" t="s">
        <v>48</v>
      </c>
    </row>
    <row r="37" spans="1:15" s="2" customFormat="1" ht="18" customHeight="1">
      <c r="A37" s="32">
        <v>44013</v>
      </c>
      <c r="B37" s="66">
        <f t="shared" si="3"/>
        <v>742574.26</v>
      </c>
      <c r="C37" s="33"/>
      <c r="D37" s="34" t="s">
        <v>54</v>
      </c>
      <c r="E37" s="36">
        <v>0.01</v>
      </c>
      <c r="F37" s="66">
        <f t="shared" si="4"/>
        <v>7425.74</v>
      </c>
      <c r="G37" s="67">
        <v>750000</v>
      </c>
      <c r="H37" s="19"/>
      <c r="I37" s="10"/>
      <c r="J37" s="57"/>
      <c r="K37" s="54" t="s">
        <v>55</v>
      </c>
      <c r="L37" s="55" t="s">
        <v>56</v>
      </c>
      <c r="M37" s="56" t="s">
        <v>57</v>
      </c>
      <c r="N37" s="56"/>
      <c r="O37" s="55"/>
    </row>
    <row r="38" spans="1:15" s="2" customFormat="1" ht="18" customHeight="1">
      <c r="A38" s="32"/>
      <c r="B38" s="66">
        <f t="shared" si="3"/>
        <v>0</v>
      </c>
      <c r="C38" s="33"/>
      <c r="D38" s="34"/>
      <c r="E38" s="35"/>
      <c r="F38" s="66">
        <f t="shared" si="4"/>
        <v>0</v>
      </c>
      <c r="G38" s="67"/>
      <c r="H38" s="19">
        <v>44057</v>
      </c>
      <c r="I38" s="79">
        <v>750000</v>
      </c>
      <c r="J38" s="46" t="s">
        <v>24</v>
      </c>
      <c r="K38" s="54" t="s">
        <v>55</v>
      </c>
      <c r="L38" s="55"/>
      <c r="M38" s="56"/>
      <c r="N38" s="56"/>
      <c r="O38" s="55"/>
    </row>
    <row r="39" spans="1:15" s="2" customFormat="1" ht="18" customHeight="1">
      <c r="A39" s="32">
        <v>44044</v>
      </c>
      <c r="B39" s="66">
        <f t="shared" si="3"/>
        <v>240000</v>
      </c>
      <c r="C39" s="33" t="s">
        <v>58</v>
      </c>
      <c r="D39" s="34" t="s">
        <v>59</v>
      </c>
      <c r="E39" s="35"/>
      <c r="F39" s="66">
        <f t="shared" si="4"/>
        <v>0</v>
      </c>
      <c r="G39" s="67">
        <v>240000</v>
      </c>
      <c r="H39" s="19"/>
      <c r="I39" s="10"/>
      <c r="J39" s="57"/>
      <c r="K39" s="54" t="s">
        <v>60</v>
      </c>
      <c r="L39" s="55" t="s">
        <v>61</v>
      </c>
      <c r="M39" s="56" t="s">
        <v>57</v>
      </c>
      <c r="N39" s="56"/>
      <c r="O39" s="55"/>
    </row>
    <row r="40" spans="1:15" s="2" customFormat="1" ht="18" customHeight="1">
      <c r="A40" s="32">
        <v>44044</v>
      </c>
      <c r="B40" s="66">
        <f t="shared" si="3"/>
        <v>240000</v>
      </c>
      <c r="C40" s="33" t="s">
        <v>58</v>
      </c>
      <c r="D40" s="34" t="s">
        <v>59</v>
      </c>
      <c r="E40" s="35"/>
      <c r="F40" s="66">
        <f t="shared" si="4"/>
        <v>0</v>
      </c>
      <c r="G40" s="67">
        <v>240000</v>
      </c>
      <c r="H40" s="19"/>
      <c r="I40" s="10"/>
      <c r="J40" s="57"/>
      <c r="K40" s="54" t="s">
        <v>62</v>
      </c>
      <c r="L40" s="55" t="s">
        <v>61</v>
      </c>
      <c r="M40" s="56" t="s">
        <v>57</v>
      </c>
      <c r="N40" s="56"/>
      <c r="O40" s="55"/>
    </row>
    <row r="41" spans="1:15" s="2" customFormat="1" ht="18" customHeight="1">
      <c r="A41" s="32">
        <v>44044</v>
      </c>
      <c r="B41" s="66">
        <f t="shared" si="3"/>
        <v>240000</v>
      </c>
      <c r="C41" s="33" t="s">
        <v>58</v>
      </c>
      <c r="D41" s="34" t="s">
        <v>59</v>
      </c>
      <c r="E41" s="35"/>
      <c r="F41" s="66">
        <f t="shared" si="4"/>
        <v>0</v>
      </c>
      <c r="G41" s="67">
        <v>240000</v>
      </c>
      <c r="H41" s="19"/>
      <c r="I41" s="10"/>
      <c r="J41" s="57"/>
      <c r="K41" s="54" t="s">
        <v>63</v>
      </c>
      <c r="L41" s="55" t="s">
        <v>61</v>
      </c>
      <c r="M41" s="56" t="s">
        <v>57</v>
      </c>
      <c r="N41" s="56"/>
      <c r="O41" s="55"/>
    </row>
    <row r="42" spans="1:15" s="2" customFormat="1" ht="18" customHeight="1">
      <c r="A42" s="32"/>
      <c r="B42" s="66">
        <f t="shared" si="3"/>
        <v>0</v>
      </c>
      <c r="C42" s="33"/>
      <c r="D42" s="34"/>
      <c r="E42" s="35"/>
      <c r="F42" s="66">
        <f t="shared" si="4"/>
        <v>0</v>
      </c>
      <c r="G42" s="67"/>
      <c r="H42" s="19">
        <v>44101</v>
      </c>
      <c r="I42" s="10">
        <v>-480000</v>
      </c>
      <c r="J42" s="57"/>
      <c r="K42" s="71" t="s">
        <v>4</v>
      </c>
      <c r="L42" s="55"/>
      <c r="M42" s="56"/>
      <c r="N42" s="56"/>
      <c r="O42" s="55"/>
    </row>
    <row r="43" spans="1:15" s="2" customFormat="1" ht="18" customHeight="1">
      <c r="A43" s="32"/>
      <c r="B43" s="66">
        <f t="shared" si="3"/>
        <v>0</v>
      </c>
      <c r="C43" s="33"/>
      <c r="D43" s="34"/>
      <c r="E43" s="35"/>
      <c r="F43" s="66">
        <f t="shared" si="4"/>
        <v>0</v>
      </c>
      <c r="G43" s="67"/>
      <c r="H43" s="19">
        <v>44103</v>
      </c>
      <c r="I43" s="79">
        <v>240000</v>
      </c>
      <c r="J43" s="57"/>
      <c r="K43" s="71" t="s">
        <v>60</v>
      </c>
      <c r="L43" s="55"/>
      <c r="M43" s="56"/>
      <c r="N43" s="56"/>
      <c r="O43" s="55"/>
    </row>
    <row r="44" spans="1:15" s="2" customFormat="1" ht="18" customHeight="1">
      <c r="A44" s="32"/>
      <c r="B44" s="66">
        <f t="shared" ref="B44:B57" si="5">ROUND(G44/(1+E44),2)</f>
        <v>0</v>
      </c>
      <c r="C44" s="33"/>
      <c r="D44" s="34"/>
      <c r="E44" s="35"/>
      <c r="F44" s="66">
        <f t="shared" ref="F44:F57" si="6">ROUND(G44/(1+E44)*E44,2)</f>
        <v>0</v>
      </c>
      <c r="G44" s="67"/>
      <c r="H44" s="19">
        <v>44103</v>
      </c>
      <c r="I44" s="79">
        <v>240000</v>
      </c>
      <c r="J44" s="57"/>
      <c r="K44" s="71" t="s">
        <v>63</v>
      </c>
      <c r="L44" s="55"/>
      <c r="M44" s="56"/>
      <c r="N44" s="56"/>
      <c r="O44" s="55"/>
    </row>
    <row r="45" spans="1:15" s="2" customFormat="1" ht="18" customHeight="1">
      <c r="A45" s="32"/>
      <c r="B45" s="66">
        <f t="shared" si="5"/>
        <v>0</v>
      </c>
      <c r="C45" s="33"/>
      <c r="D45" s="34"/>
      <c r="E45" s="35"/>
      <c r="F45" s="66">
        <f t="shared" si="6"/>
        <v>0</v>
      </c>
      <c r="G45" s="67"/>
      <c r="H45" s="19">
        <v>44103</v>
      </c>
      <c r="I45" s="10">
        <v>-240000</v>
      </c>
      <c r="J45" s="57"/>
      <c r="K45" s="71" t="s">
        <v>4</v>
      </c>
      <c r="L45" s="55"/>
      <c r="M45" s="56"/>
      <c r="N45" s="56"/>
      <c r="O45" s="55"/>
    </row>
    <row r="46" spans="1:15" s="2" customFormat="1" ht="18" customHeight="1">
      <c r="A46" s="32"/>
      <c r="B46" s="66">
        <f t="shared" si="5"/>
        <v>0</v>
      </c>
      <c r="C46" s="33"/>
      <c r="D46" s="34"/>
      <c r="E46" s="35"/>
      <c r="F46" s="66">
        <f t="shared" si="6"/>
        <v>0</v>
      </c>
      <c r="G46" s="67"/>
      <c r="H46" s="68">
        <v>44116</v>
      </c>
      <c r="I46" s="79">
        <v>240000</v>
      </c>
      <c r="J46" s="72"/>
      <c r="K46" s="54" t="s">
        <v>62</v>
      </c>
      <c r="L46" s="55"/>
      <c r="M46" s="56"/>
      <c r="N46" s="56"/>
      <c r="O46" s="55"/>
    </row>
    <row r="47" spans="1:15" s="2" customFormat="1" ht="18" customHeight="1">
      <c r="A47" s="32">
        <v>44105</v>
      </c>
      <c r="B47" s="66">
        <f t="shared" si="5"/>
        <v>810000</v>
      </c>
      <c r="C47" s="33" t="s">
        <v>64</v>
      </c>
      <c r="D47" s="34" t="s">
        <v>65</v>
      </c>
      <c r="E47" s="35"/>
      <c r="F47" s="66">
        <f t="shared" si="6"/>
        <v>0</v>
      </c>
      <c r="G47" s="67">
        <v>810000</v>
      </c>
      <c r="H47" s="68"/>
      <c r="I47" s="66"/>
      <c r="J47" s="72"/>
      <c r="K47" s="54" t="s">
        <v>55</v>
      </c>
      <c r="L47" s="55" t="s">
        <v>66</v>
      </c>
      <c r="M47" s="56" t="s">
        <v>57</v>
      </c>
      <c r="N47" s="56"/>
      <c r="O47" s="55"/>
    </row>
    <row r="48" spans="1:15" s="2" customFormat="1" ht="18" customHeight="1">
      <c r="A48" s="32"/>
      <c r="B48" s="66">
        <f t="shared" si="5"/>
        <v>0</v>
      </c>
      <c r="C48" s="33"/>
      <c r="D48" s="34"/>
      <c r="E48" s="35"/>
      <c r="F48" s="66">
        <f t="shared" si="6"/>
        <v>0</v>
      </c>
      <c r="G48" s="67"/>
      <c r="H48" s="19">
        <v>44140</v>
      </c>
      <c r="I48" s="79">
        <v>810000</v>
      </c>
      <c r="J48" s="57"/>
      <c r="K48" s="71" t="s">
        <v>55</v>
      </c>
      <c r="L48" s="55" t="s">
        <v>67</v>
      </c>
      <c r="M48" s="56"/>
      <c r="N48" s="56"/>
      <c r="O48" s="55"/>
    </row>
    <row r="49" spans="1:15" s="2" customFormat="1" ht="18" customHeight="1">
      <c r="A49" s="32"/>
      <c r="B49" s="66">
        <f t="shared" si="5"/>
        <v>0</v>
      </c>
      <c r="C49" s="33"/>
      <c r="D49" s="34"/>
      <c r="E49" s="35"/>
      <c r="F49" s="66">
        <f t="shared" si="6"/>
        <v>0</v>
      </c>
      <c r="G49" s="67"/>
      <c r="H49" s="19">
        <v>44140</v>
      </c>
      <c r="I49" s="79">
        <v>30253.87</v>
      </c>
      <c r="J49" s="57"/>
      <c r="K49" s="71" t="s">
        <v>4</v>
      </c>
      <c r="L49" s="55"/>
      <c r="M49" s="56"/>
      <c r="N49" s="56"/>
      <c r="O49" s="55"/>
    </row>
    <row r="50" spans="1:15" s="2" customFormat="1" ht="18" customHeight="1">
      <c r="A50" s="32"/>
      <c r="B50" s="66">
        <f t="shared" si="5"/>
        <v>0</v>
      </c>
      <c r="C50" s="33"/>
      <c r="D50" s="34"/>
      <c r="E50" s="35"/>
      <c r="F50" s="66">
        <f t="shared" si="6"/>
        <v>0</v>
      </c>
      <c r="G50" s="67"/>
      <c r="H50" s="68"/>
      <c r="I50" s="66"/>
      <c r="J50" s="72"/>
      <c r="K50" s="54"/>
      <c r="L50" s="55"/>
      <c r="M50" s="56"/>
      <c r="N50" s="56"/>
      <c r="O50" s="55"/>
    </row>
    <row r="51" spans="1:15" s="2" customFormat="1" ht="18" customHeight="1">
      <c r="A51" s="32"/>
      <c r="B51" s="66">
        <f t="shared" si="5"/>
        <v>0</v>
      </c>
      <c r="C51" s="33"/>
      <c r="D51" s="34"/>
      <c r="E51" s="35"/>
      <c r="F51" s="66">
        <f t="shared" si="6"/>
        <v>0</v>
      </c>
      <c r="G51" s="67"/>
      <c r="H51" s="19"/>
      <c r="I51" s="10"/>
      <c r="J51" s="57"/>
      <c r="K51" s="71"/>
      <c r="L51" s="55"/>
      <c r="M51" s="56"/>
      <c r="N51" s="56"/>
      <c r="O51" s="55"/>
    </row>
    <row r="52" spans="1:15" s="2" customFormat="1" ht="18" customHeight="1">
      <c r="A52" s="32"/>
      <c r="B52" s="66">
        <f t="shared" si="5"/>
        <v>0</v>
      </c>
      <c r="C52" s="33"/>
      <c r="D52" s="34"/>
      <c r="E52" s="35"/>
      <c r="F52" s="66">
        <f t="shared" si="6"/>
        <v>0</v>
      </c>
      <c r="G52" s="67"/>
      <c r="H52" s="19"/>
      <c r="I52" s="10"/>
      <c r="J52" s="57"/>
      <c r="K52" s="54"/>
      <c r="L52" s="55"/>
      <c r="M52" s="56"/>
      <c r="N52" s="56"/>
      <c r="O52" s="55"/>
    </row>
    <row r="53" spans="1:15" s="2" customFormat="1" ht="18" customHeight="1">
      <c r="A53" s="32"/>
      <c r="B53" s="66">
        <f t="shared" si="5"/>
        <v>0</v>
      </c>
      <c r="C53" s="33"/>
      <c r="D53" s="34"/>
      <c r="E53" s="35"/>
      <c r="F53" s="66">
        <f t="shared" si="6"/>
        <v>0</v>
      </c>
      <c r="G53" s="67"/>
      <c r="H53" s="19"/>
      <c r="I53" s="10"/>
      <c r="J53" s="57"/>
      <c r="K53" s="54"/>
      <c r="L53" s="55"/>
      <c r="M53" s="56"/>
      <c r="N53" s="56"/>
      <c r="O53" s="55"/>
    </row>
    <row r="54" spans="1:15" s="2" customFormat="1" ht="18" customHeight="1">
      <c r="A54" s="32"/>
      <c r="B54" s="66">
        <f t="shared" si="5"/>
        <v>0</v>
      </c>
      <c r="C54" s="33"/>
      <c r="D54" s="34"/>
      <c r="E54" s="35"/>
      <c r="F54" s="66">
        <f t="shared" si="6"/>
        <v>0</v>
      </c>
      <c r="G54" s="67"/>
      <c r="H54" s="19"/>
      <c r="I54" s="10"/>
      <c r="J54" s="57"/>
      <c r="K54" s="54"/>
      <c r="L54" s="55"/>
      <c r="M54" s="56"/>
      <c r="N54" s="56"/>
      <c r="O54" s="55"/>
    </row>
    <row r="55" spans="1:15" s="2" customFormat="1" ht="18" customHeight="1">
      <c r="A55" s="32"/>
      <c r="B55" s="66">
        <f t="shared" si="5"/>
        <v>0</v>
      </c>
      <c r="C55" s="33"/>
      <c r="D55" s="34"/>
      <c r="E55" s="35"/>
      <c r="F55" s="66">
        <f t="shared" si="6"/>
        <v>0</v>
      </c>
      <c r="G55" s="67"/>
      <c r="H55" s="19" t="s">
        <v>68</v>
      </c>
      <c r="I55" s="10">
        <v>7453</v>
      </c>
      <c r="J55" s="57" t="s">
        <v>69</v>
      </c>
      <c r="K55" s="54" t="s">
        <v>70</v>
      </c>
      <c r="L55" s="55"/>
      <c r="M55" s="56"/>
      <c r="N55" s="56"/>
      <c r="O55" s="55"/>
    </row>
    <row r="56" spans="1:15" s="2" customFormat="1" ht="18" customHeight="1">
      <c r="A56" s="32"/>
      <c r="B56" s="66">
        <f t="shared" si="5"/>
        <v>0</v>
      </c>
      <c r="C56" s="33"/>
      <c r="D56" s="34"/>
      <c r="E56" s="35"/>
      <c r="F56" s="66">
        <f t="shared" si="6"/>
        <v>0</v>
      </c>
      <c r="G56" s="67"/>
      <c r="H56" s="19" t="s">
        <v>68</v>
      </c>
      <c r="I56" s="10">
        <v>300</v>
      </c>
      <c r="J56" s="57" t="s">
        <v>69</v>
      </c>
      <c r="K56" s="54" t="s">
        <v>71</v>
      </c>
      <c r="L56" s="55"/>
      <c r="M56" s="56"/>
      <c r="N56" s="56"/>
      <c r="O56" s="55"/>
    </row>
    <row r="57" spans="1:15" s="2" customFormat="1" ht="18" customHeight="1">
      <c r="A57" s="32"/>
      <c r="B57" s="66">
        <f t="shared" si="5"/>
        <v>0</v>
      </c>
      <c r="C57" s="33"/>
      <c r="D57" s="34"/>
      <c r="E57" s="35"/>
      <c r="F57" s="66">
        <f t="shared" si="6"/>
        <v>0</v>
      </c>
      <c r="G57" s="67"/>
      <c r="H57" s="19" t="s">
        <v>68</v>
      </c>
      <c r="I57" s="10">
        <v>500</v>
      </c>
      <c r="J57" s="57" t="s">
        <v>69</v>
      </c>
      <c r="K57" s="73" t="s">
        <v>72</v>
      </c>
      <c r="L57" s="74"/>
      <c r="M57" s="75"/>
      <c r="N57" s="75"/>
      <c r="O57" s="74"/>
    </row>
    <row r="58" spans="1:15" s="2" customFormat="1" ht="18" customHeight="1">
      <c r="A58" s="32"/>
      <c r="B58" s="66"/>
      <c r="C58" s="33"/>
      <c r="D58" s="34"/>
      <c r="E58" s="35"/>
      <c r="F58" s="66"/>
      <c r="G58" s="67"/>
      <c r="H58" s="19" t="s">
        <v>68</v>
      </c>
      <c r="I58" s="10">
        <v>-46652.83</v>
      </c>
      <c r="J58" s="57" t="s">
        <v>73</v>
      </c>
      <c r="K58" s="54" t="s">
        <v>74</v>
      </c>
      <c r="L58" s="74"/>
      <c r="M58" s="75"/>
      <c r="N58" s="75"/>
      <c r="O58" s="74"/>
    </row>
    <row r="59" spans="1:15" s="2" customFormat="1" ht="18" customHeight="1">
      <c r="A59" s="32"/>
      <c r="B59" s="66"/>
      <c r="C59" s="33"/>
      <c r="D59" s="34"/>
      <c r="E59" s="35"/>
      <c r="F59" s="66"/>
      <c r="G59" s="67"/>
      <c r="H59" s="19" t="s">
        <v>68</v>
      </c>
      <c r="I59" s="10">
        <v>500</v>
      </c>
      <c r="J59" s="57" t="s">
        <v>69</v>
      </c>
      <c r="K59" s="73" t="s">
        <v>75</v>
      </c>
      <c r="L59" s="74"/>
      <c r="M59" s="75"/>
      <c r="N59" s="75"/>
      <c r="O59" s="74"/>
    </row>
    <row r="60" spans="1:15" s="2" customFormat="1" ht="18" customHeight="1">
      <c r="A60" s="32"/>
      <c r="B60" s="66"/>
      <c r="C60" s="33"/>
      <c r="D60" s="34"/>
      <c r="E60" s="35"/>
      <c r="F60" s="66"/>
      <c r="G60" s="67"/>
      <c r="H60" s="19" t="s">
        <v>68</v>
      </c>
      <c r="I60" s="10">
        <v>18400</v>
      </c>
      <c r="J60" s="57" t="s">
        <v>69</v>
      </c>
      <c r="K60" s="54" t="s">
        <v>76</v>
      </c>
      <c r="L60" s="74"/>
      <c r="M60" s="75"/>
      <c r="N60" s="75"/>
      <c r="O60" s="74"/>
    </row>
    <row r="61" spans="1:15" s="2" customFormat="1" ht="18" customHeight="1">
      <c r="A61" s="32"/>
      <c r="B61" s="66">
        <f>ROUND(G61/(1+E61),2)</f>
        <v>0</v>
      </c>
      <c r="C61" s="33"/>
      <c r="D61" s="34"/>
      <c r="E61" s="35"/>
      <c r="F61" s="66">
        <f>ROUND(G61/(1+E61)*E61,2)</f>
        <v>0</v>
      </c>
      <c r="G61" s="67"/>
      <c r="H61" s="19" t="s">
        <v>68</v>
      </c>
      <c r="I61" s="10">
        <v>3443</v>
      </c>
      <c r="J61" s="57" t="s">
        <v>69</v>
      </c>
      <c r="K61" s="54" t="s">
        <v>77</v>
      </c>
      <c r="L61" s="55"/>
      <c r="M61" s="56"/>
      <c r="N61" s="56"/>
      <c r="O61" s="55"/>
    </row>
    <row r="62" spans="1:15" s="2" customFormat="1" ht="18" customHeight="1">
      <c r="A62" s="32"/>
      <c r="B62" s="66">
        <f>ROUND(G62/(1+E62),2)</f>
        <v>0</v>
      </c>
      <c r="C62" s="33"/>
      <c r="D62" s="34"/>
      <c r="E62" s="35"/>
      <c r="F62" s="66">
        <f>ROUND(G62/(1+E62)*E62,2)</f>
        <v>0</v>
      </c>
      <c r="G62" s="67"/>
      <c r="H62" s="19" t="s">
        <v>68</v>
      </c>
      <c r="I62" s="10">
        <v>113079.19</v>
      </c>
      <c r="J62" s="57" t="s">
        <v>69</v>
      </c>
      <c r="K62" s="54" t="s">
        <v>78</v>
      </c>
      <c r="L62" s="55"/>
      <c r="M62" s="56"/>
      <c r="N62" s="56"/>
      <c r="O62" s="55"/>
    </row>
    <row r="63" spans="1:15" s="2" customFormat="1" ht="18" customHeight="1">
      <c r="A63" s="32"/>
      <c r="B63" s="66"/>
      <c r="C63" s="33"/>
      <c r="D63" s="34"/>
      <c r="E63" s="35"/>
      <c r="F63" s="66"/>
      <c r="G63" s="67"/>
      <c r="H63" s="19" t="s">
        <v>68</v>
      </c>
      <c r="I63" s="10">
        <v>200</v>
      </c>
      <c r="J63" s="57" t="s">
        <v>69</v>
      </c>
      <c r="K63" s="54"/>
      <c r="L63" s="55"/>
      <c r="M63" s="56"/>
      <c r="N63" s="56"/>
      <c r="O63" s="55"/>
    </row>
    <row r="64" spans="1:15" s="2" customFormat="1" ht="18" customHeight="1">
      <c r="A64" s="32"/>
      <c r="B64" s="66"/>
      <c r="C64" s="33"/>
      <c r="D64" s="34"/>
      <c r="E64" s="35"/>
      <c r="F64" s="66"/>
      <c r="G64" s="67"/>
      <c r="H64" s="19" t="s">
        <v>68</v>
      </c>
      <c r="I64" s="10">
        <v>100</v>
      </c>
      <c r="J64" s="57" t="s">
        <v>69</v>
      </c>
      <c r="K64" s="54" t="s">
        <v>79</v>
      </c>
      <c r="L64" s="55"/>
      <c r="M64" s="56"/>
      <c r="N64" s="56"/>
      <c r="O64" s="55"/>
    </row>
    <row r="65" spans="1:15" s="2" customFormat="1" ht="18" customHeight="1">
      <c r="A65" s="32"/>
      <c r="B65" s="66"/>
      <c r="C65" s="33"/>
      <c r="D65" s="34"/>
      <c r="E65" s="35"/>
      <c r="F65" s="66"/>
      <c r="G65" s="67"/>
      <c r="H65" s="19" t="s">
        <v>68</v>
      </c>
      <c r="I65" s="10">
        <v>200</v>
      </c>
      <c r="J65" s="57" t="s">
        <v>69</v>
      </c>
      <c r="K65" s="54" t="s">
        <v>79</v>
      </c>
      <c r="L65" s="55"/>
      <c r="M65" s="56"/>
      <c r="N65" s="56"/>
      <c r="O65" s="55"/>
    </row>
    <row r="66" spans="1:15" s="2" customFormat="1" ht="18" customHeight="1">
      <c r="A66" s="32"/>
      <c r="B66" s="66">
        <f>ROUND(G66/(1+E66),2)</f>
        <v>0</v>
      </c>
      <c r="C66" s="33"/>
      <c r="D66" s="34"/>
      <c r="E66" s="35"/>
      <c r="F66" s="66">
        <f>ROUND(G66/(1+E66)*E66,2)</f>
        <v>0</v>
      </c>
      <c r="G66" s="67"/>
      <c r="H66" s="19" t="s">
        <v>80</v>
      </c>
      <c r="I66" s="10">
        <v>46652.83</v>
      </c>
      <c r="J66" s="57" t="s">
        <v>81</v>
      </c>
      <c r="K66" s="54"/>
      <c r="L66" s="55"/>
      <c r="M66" s="56"/>
      <c r="N66" s="56"/>
      <c r="O66" s="55"/>
    </row>
    <row r="67" spans="1:15" s="2" customFormat="1" ht="18" customHeight="1">
      <c r="A67" s="32"/>
      <c r="B67" s="66">
        <f t="shared" ref="B67:B75" si="7">ROUND(G67/(1+E67),2)</f>
        <v>0</v>
      </c>
      <c r="C67" s="33"/>
      <c r="D67" s="34"/>
      <c r="E67" s="35"/>
      <c r="F67" s="66">
        <f t="shared" ref="F67:F75" si="8">ROUND(G67/(1+E67)*E67,2)</f>
        <v>0</v>
      </c>
      <c r="G67" s="67"/>
      <c r="H67" s="19" t="s">
        <v>80</v>
      </c>
      <c r="I67" s="10">
        <v>500</v>
      </c>
      <c r="J67" s="57" t="s">
        <v>69</v>
      </c>
      <c r="K67" s="54" t="s">
        <v>82</v>
      </c>
      <c r="L67" s="55"/>
      <c r="M67" s="56"/>
      <c r="N67" s="56"/>
      <c r="O67" s="55"/>
    </row>
    <row r="68" spans="1:15" s="2" customFormat="1" ht="18" customHeight="1">
      <c r="A68" s="32"/>
      <c r="B68" s="66">
        <f t="shared" si="7"/>
        <v>0</v>
      </c>
      <c r="C68" s="33"/>
      <c r="D68" s="34"/>
      <c r="E68" s="35"/>
      <c r="F68" s="66">
        <f t="shared" si="8"/>
        <v>0</v>
      </c>
      <c r="G68" s="67"/>
      <c r="H68" s="19" t="s">
        <v>80</v>
      </c>
      <c r="I68" s="10">
        <v>33995</v>
      </c>
      <c r="J68" s="57" t="s">
        <v>69</v>
      </c>
      <c r="K68" s="54" t="s">
        <v>83</v>
      </c>
      <c r="L68" s="55"/>
      <c r="M68" s="56"/>
      <c r="N68" s="56"/>
      <c r="O68" s="55"/>
    </row>
    <row r="69" spans="1:15" s="2" customFormat="1" ht="18" customHeight="1">
      <c r="A69" s="32"/>
      <c r="B69" s="66">
        <f t="shared" si="7"/>
        <v>0</v>
      </c>
      <c r="C69" s="33"/>
      <c r="D69" s="34"/>
      <c r="E69" s="35"/>
      <c r="F69" s="66">
        <f t="shared" si="8"/>
        <v>0</v>
      </c>
      <c r="G69" s="67"/>
      <c r="H69" s="19" t="s">
        <v>84</v>
      </c>
      <c r="I69" s="10">
        <v>5932.06</v>
      </c>
      <c r="J69" s="57" t="s">
        <v>69</v>
      </c>
      <c r="K69" s="54" t="s">
        <v>83</v>
      </c>
      <c r="L69" s="55"/>
      <c r="M69" s="56"/>
      <c r="N69" s="56"/>
      <c r="O69" s="55"/>
    </row>
    <row r="70" spans="1:15" s="2" customFormat="1" ht="18" customHeight="1">
      <c r="A70" s="32"/>
      <c r="B70" s="66">
        <f t="shared" si="7"/>
        <v>97528.7</v>
      </c>
      <c r="C70" s="33"/>
      <c r="D70" s="34"/>
      <c r="E70" s="35"/>
      <c r="F70" s="66">
        <f t="shared" si="8"/>
        <v>0</v>
      </c>
      <c r="G70" s="67">
        <f>97528.7</f>
        <v>97528.7</v>
      </c>
      <c r="H70" s="19" t="s">
        <v>84</v>
      </c>
      <c r="I70" s="10">
        <f>G70</f>
        <v>97528.7</v>
      </c>
      <c r="J70" s="57" t="s">
        <v>69</v>
      </c>
      <c r="K70" s="54" t="s">
        <v>85</v>
      </c>
      <c r="L70" s="55"/>
      <c r="M70" s="56"/>
      <c r="N70" s="56"/>
      <c r="O70" s="55"/>
    </row>
    <row r="71" spans="1:15" s="2" customFormat="1" ht="18" customHeight="1">
      <c r="A71" s="32"/>
      <c r="B71" s="66">
        <f t="shared" si="7"/>
        <v>0</v>
      </c>
      <c r="C71" s="33"/>
      <c r="D71" s="34"/>
      <c r="E71" s="35"/>
      <c r="F71" s="66">
        <f t="shared" si="8"/>
        <v>0</v>
      </c>
      <c r="G71" s="67"/>
      <c r="H71" s="38" t="s">
        <v>86</v>
      </c>
      <c r="I71" s="10">
        <v>500</v>
      </c>
      <c r="J71" s="57" t="s">
        <v>69</v>
      </c>
      <c r="K71" s="54" t="s">
        <v>82</v>
      </c>
      <c r="L71" s="55"/>
      <c r="M71" s="56"/>
      <c r="N71" s="56"/>
      <c r="O71" s="55"/>
    </row>
    <row r="72" spans="1:15" s="2" customFormat="1" ht="18" customHeight="1">
      <c r="A72" s="32"/>
      <c r="B72" s="66">
        <f t="shared" si="7"/>
        <v>0</v>
      </c>
      <c r="C72" s="33"/>
      <c r="D72" s="34"/>
      <c r="E72" s="35"/>
      <c r="F72" s="66">
        <f t="shared" si="8"/>
        <v>0</v>
      </c>
      <c r="G72" s="67"/>
      <c r="H72" s="38" t="s">
        <v>86</v>
      </c>
      <c r="I72" s="10">
        <v>149445.21</v>
      </c>
      <c r="J72" s="57" t="s">
        <v>69</v>
      </c>
      <c r="K72" s="54" t="s">
        <v>83</v>
      </c>
      <c r="L72" s="55"/>
      <c r="M72" s="56"/>
      <c r="N72" s="56"/>
      <c r="O72" s="55"/>
    </row>
    <row r="73" spans="1:15" s="2" customFormat="1" ht="18" customHeight="1">
      <c r="A73" s="32"/>
      <c r="B73" s="66">
        <f t="shared" si="7"/>
        <v>50000</v>
      </c>
      <c r="C73" s="33"/>
      <c r="D73" s="34"/>
      <c r="E73" s="35"/>
      <c r="F73" s="66">
        <f t="shared" si="8"/>
        <v>0</v>
      </c>
      <c r="G73" s="67">
        <f>50000</f>
        <v>50000</v>
      </c>
      <c r="H73" s="38" t="s">
        <v>86</v>
      </c>
      <c r="I73" s="10">
        <f>G73</f>
        <v>50000</v>
      </c>
      <c r="J73" s="57" t="s">
        <v>69</v>
      </c>
      <c r="K73" s="54" t="s">
        <v>87</v>
      </c>
      <c r="L73" s="55"/>
      <c r="M73" s="56"/>
      <c r="N73" s="56"/>
      <c r="O73" s="55"/>
    </row>
    <row r="74" spans="1:15" s="2" customFormat="1" ht="18" customHeight="1">
      <c r="A74" s="32"/>
      <c r="B74" s="66">
        <f t="shared" si="7"/>
        <v>0</v>
      </c>
      <c r="C74" s="33"/>
      <c r="D74" s="34"/>
      <c r="E74" s="35"/>
      <c r="F74" s="66">
        <f t="shared" si="8"/>
        <v>0</v>
      </c>
      <c r="G74" s="67"/>
      <c r="H74" s="19"/>
      <c r="I74" s="10"/>
      <c r="J74" s="57"/>
      <c r="K74" s="54"/>
      <c r="L74" s="55"/>
      <c r="M74" s="56"/>
      <c r="N74" s="56"/>
      <c r="O74" s="55"/>
    </row>
    <row r="75" spans="1:15" s="2" customFormat="1" ht="18" customHeight="1">
      <c r="A75" s="32"/>
      <c r="B75" s="66">
        <f t="shared" si="7"/>
        <v>0</v>
      </c>
      <c r="C75" s="33"/>
      <c r="D75" s="34"/>
      <c r="E75" s="35"/>
      <c r="F75" s="66">
        <f t="shared" si="8"/>
        <v>0</v>
      </c>
      <c r="G75" s="67"/>
      <c r="H75" s="19"/>
      <c r="I75" s="10"/>
      <c r="J75" s="57"/>
      <c r="K75" s="54"/>
      <c r="L75" s="55"/>
      <c r="M75" s="56"/>
      <c r="N75" s="56"/>
      <c r="O75" s="55"/>
    </row>
    <row r="76" spans="1:15" ht="18" customHeight="1">
      <c r="A76" s="27" t="s">
        <v>28</v>
      </c>
      <c r="B76" s="76">
        <f>SUM(B15:B75)</f>
        <v>6576667.6500000004</v>
      </c>
      <c r="C76" s="27"/>
      <c r="D76" s="39"/>
      <c r="E76" s="39"/>
      <c r="F76" s="65">
        <f>SUM(F15:F75)</f>
        <v>287795.3</v>
      </c>
      <c r="G76" s="77">
        <f>SUM(G15:G75)</f>
        <v>6864462.9500000002</v>
      </c>
      <c r="H76" s="41"/>
      <c r="I76" s="27">
        <f>SUM(I15:I75)</f>
        <v>7268924.0599999996</v>
      </c>
      <c r="J76" s="58"/>
      <c r="K76" s="39"/>
      <c r="L76" s="30"/>
      <c r="M76" s="46"/>
      <c r="N76" s="46"/>
      <c r="O76" s="30"/>
    </row>
    <row r="77" spans="1:15" ht="18" customHeight="1">
      <c r="A77" s="42" t="s">
        <v>88</v>
      </c>
      <c r="B77" s="42">
        <f>B12-B76</f>
        <v>-187.98225887026601</v>
      </c>
      <c r="C77" s="42"/>
      <c r="D77" s="44"/>
      <c r="E77" s="44"/>
      <c r="F77" s="43"/>
      <c r="G77" s="42">
        <f>G12-G76</f>
        <v>404461.109999999</v>
      </c>
      <c r="H77" s="18" t="s">
        <v>89</v>
      </c>
      <c r="I77" s="27">
        <f>I12-I76</f>
        <v>0</v>
      </c>
      <c r="J77" s="7"/>
      <c r="K77" s="59"/>
      <c r="M77" s="60"/>
      <c r="N77" s="60"/>
    </row>
    <row r="78" spans="1:15" ht="18" customHeight="1">
      <c r="A78" s="3" t="s">
        <v>90</v>
      </c>
      <c r="C78" s="3"/>
      <c r="J78" s="5"/>
    </row>
    <row r="79" spans="1:15" ht="18" customHeight="1">
      <c r="A79" s="18" t="s">
        <v>91</v>
      </c>
      <c r="B79" s="17" t="s">
        <v>92</v>
      </c>
      <c r="C79" s="30"/>
      <c r="D79" s="18" t="s">
        <v>91</v>
      </c>
      <c r="E79" s="16" t="s">
        <v>16</v>
      </c>
      <c r="F79" s="45" t="s">
        <v>92</v>
      </c>
      <c r="G79" s="20" t="s">
        <v>93</v>
      </c>
      <c r="I79" s="10" t="s">
        <v>94</v>
      </c>
      <c r="J79" s="5"/>
    </row>
    <row r="80" spans="1:15" ht="18" customHeight="1">
      <c r="A80" s="30" t="s">
        <v>95</v>
      </c>
      <c r="B80" s="14">
        <f>(B12-B76)*0.25</f>
        <v>-46.995564717566602</v>
      </c>
      <c r="C80" s="30"/>
      <c r="D80" s="8" t="s">
        <v>96</v>
      </c>
      <c r="E80" s="46" t="s">
        <v>97</v>
      </c>
      <c r="F80" s="47">
        <f>F12-F76</f>
        <v>273119.498904042</v>
      </c>
      <c r="G80" s="20">
        <f>F10</f>
        <v>108389.29917431199</v>
      </c>
      <c r="I80" s="65">
        <f>F10-F37</f>
        <v>100963.559174312</v>
      </c>
      <c r="J80" s="5"/>
    </row>
    <row r="81" spans="1:10" ht="18" customHeight="1">
      <c r="A81" s="30" t="s">
        <v>98</v>
      </c>
      <c r="B81" s="48" t="s">
        <v>99</v>
      </c>
      <c r="C81" s="30"/>
      <c r="D81" s="49" t="s">
        <v>100</v>
      </c>
      <c r="E81" s="12">
        <v>7.0000000000000007E-2</v>
      </c>
      <c r="F81" s="50">
        <f>F80*E81</f>
        <v>19118.364923282901</v>
      </c>
      <c r="G81" s="20">
        <f>G80*E81</f>
        <v>7587.2509422018402</v>
      </c>
      <c r="I81" s="10">
        <f>I80*E81</f>
        <v>7067.44914220184</v>
      </c>
      <c r="J81" s="5"/>
    </row>
    <row r="82" spans="1:10" ht="18" customHeight="1">
      <c r="A82" s="30" t="s">
        <v>101</v>
      </c>
      <c r="B82" s="48" t="s">
        <v>99</v>
      </c>
      <c r="C82" s="30"/>
      <c r="D82" s="49" t="s">
        <v>102</v>
      </c>
      <c r="E82" s="12">
        <v>0.03</v>
      </c>
      <c r="F82" s="50">
        <f>F80*E82</f>
        <v>8193.58496712126</v>
      </c>
      <c r="G82" s="20">
        <f>G80*E82</f>
        <v>3251.6789752293598</v>
      </c>
      <c r="I82" s="10">
        <f>I80*E82</f>
        <v>3028.9067752293599</v>
      </c>
    </row>
    <row r="83" spans="1:10" ht="18" customHeight="1">
      <c r="A83" s="30"/>
      <c r="B83" s="20"/>
      <c r="C83" s="30"/>
      <c r="D83" s="49" t="s">
        <v>103</v>
      </c>
      <c r="E83" s="12">
        <v>0.02</v>
      </c>
      <c r="F83" s="50">
        <f>F80*E83</f>
        <v>5462.3899780808397</v>
      </c>
      <c r="G83" s="20">
        <f>G80*E83</f>
        <v>2167.7859834862402</v>
      </c>
      <c r="I83" s="10">
        <f>I80*E83</f>
        <v>2019.27118348624</v>
      </c>
    </row>
    <row r="84" spans="1:10" ht="18" customHeight="1">
      <c r="A84" s="25" t="s">
        <v>104</v>
      </c>
      <c r="B84" s="26">
        <f t="shared" ref="B84:G84" si="9">SUM(B80:B83)</f>
        <v>-46.995564717566602</v>
      </c>
      <c r="C84" s="30"/>
      <c r="D84" s="25" t="s">
        <v>104</v>
      </c>
      <c r="E84" s="25"/>
      <c r="F84" s="51">
        <f t="shared" si="9"/>
        <v>305893.838772527</v>
      </c>
      <c r="G84" s="20">
        <f t="shared" si="9"/>
        <v>121396.01507522901</v>
      </c>
      <c r="I84" s="65">
        <f>SUM(I80:I83)</f>
        <v>113079.186275229</v>
      </c>
    </row>
    <row r="85" spans="1:10" ht="18" customHeight="1">
      <c r="C85" s="3"/>
      <c r="D85" s="27" t="s">
        <v>28</v>
      </c>
      <c r="E85" s="27"/>
      <c r="F85" s="28">
        <f>F84</f>
        <v>305893.838772527</v>
      </c>
      <c r="I85" s="10">
        <f>I84</f>
        <v>113079.186275229</v>
      </c>
    </row>
    <row r="86" spans="1:10" ht="18" customHeight="1">
      <c r="C86" s="3"/>
    </row>
    <row r="87" spans="1:10" ht="18" customHeight="1">
      <c r="C87" s="3"/>
    </row>
    <row r="88" spans="1:10" ht="18" customHeight="1">
      <c r="C88" s="3"/>
    </row>
    <row r="89" spans="1:10" ht="18" customHeight="1">
      <c r="C89" s="3"/>
    </row>
    <row r="90" spans="1:10">
      <c r="C90" s="3"/>
    </row>
    <row r="91" spans="1:10">
      <c r="C91" s="3"/>
    </row>
    <row r="92" spans="1:10">
      <c r="C92" s="3"/>
    </row>
    <row r="93" spans="1:10">
      <c r="C93" s="3"/>
    </row>
    <row r="94" spans="1:10">
      <c r="C94" s="3"/>
    </row>
    <row r="95" spans="1:10">
      <c r="C95" s="3"/>
    </row>
    <row r="96" spans="1:10">
      <c r="C96" s="3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  <row r="105" spans="3:3">
      <c r="C105" s="3"/>
    </row>
  </sheetData>
  <autoFilter ref="A14:O85"/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0" type="noConversion"/>
  <pageMargins left="0.23611111111111099" right="0.23611111111111099" top="0.31458333333333299" bottom="0.156944444444444" header="0.31458333333333299" footer="0.31458333333333299"/>
  <pageSetup paperSize="9" orientation="landscape" verticalDpi="18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4"/>
  <sheetViews>
    <sheetView topLeftCell="A34" workbookViewId="0">
      <selection activeCell="D29" sqref="D29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9.625" style="5" customWidth="1"/>
    <col min="9" max="9" width="13.875" style="4" customWidth="1"/>
    <col min="10" max="10" width="16.37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spans="1:15" ht="21.95" customHeight="1">
      <c r="A1" s="81" t="s">
        <v>0</v>
      </c>
      <c r="B1" s="81"/>
      <c r="C1" s="81"/>
      <c r="D1" s="81"/>
      <c r="E1" s="81"/>
      <c r="F1" s="82"/>
      <c r="G1" s="82"/>
      <c r="H1" s="81"/>
      <c r="I1" s="82"/>
      <c r="J1" s="81"/>
      <c r="K1" s="15"/>
      <c r="L1" s="15"/>
    </row>
    <row r="2" spans="1:15" ht="18" customHeight="1">
      <c r="A2" s="8" t="s">
        <v>1</v>
      </c>
      <c r="B2" s="9">
        <v>42578</v>
      </c>
      <c r="C2" s="10" t="s">
        <v>2</v>
      </c>
      <c r="D2" s="11">
        <v>7376434.79</v>
      </c>
      <c r="E2" s="12" t="s">
        <v>3</v>
      </c>
      <c r="F2" s="10" t="s">
        <v>4</v>
      </c>
      <c r="G2" s="13" t="s">
        <v>5</v>
      </c>
      <c r="H2" s="83" t="s">
        <v>6</v>
      </c>
      <c r="I2" s="84"/>
      <c r="J2" s="85"/>
      <c r="K2" s="15"/>
      <c r="L2" s="15"/>
    </row>
    <row r="3" spans="1:15" ht="18" customHeight="1">
      <c r="A3" s="8" t="s">
        <v>7</v>
      </c>
      <c r="B3" s="14"/>
      <c r="C3" s="10" t="s">
        <v>8</v>
      </c>
      <c r="D3" s="10"/>
      <c r="H3" s="15"/>
      <c r="I3" s="52"/>
      <c r="J3" s="15"/>
      <c r="K3" s="15"/>
      <c r="L3" s="15"/>
    </row>
    <row r="4" spans="1:15" ht="18" customHeight="1">
      <c r="A4" s="3" t="s">
        <v>9</v>
      </c>
      <c r="H4" s="15"/>
      <c r="I4" s="52"/>
      <c r="J4" s="15"/>
      <c r="K4" s="15"/>
      <c r="L4" s="15"/>
    </row>
    <row r="5" spans="1:15" ht="18" customHeight="1">
      <c r="A5" s="86" t="s">
        <v>10</v>
      </c>
      <c r="B5" s="87" t="s">
        <v>11</v>
      </c>
      <c r="C5" s="86" t="s">
        <v>12</v>
      </c>
      <c r="D5" s="86"/>
      <c r="E5" s="86" t="s">
        <v>13</v>
      </c>
      <c r="F5" s="87"/>
      <c r="G5" s="87" t="s">
        <v>14</v>
      </c>
      <c r="H5" s="88" t="s">
        <v>15</v>
      </c>
      <c r="I5" s="87"/>
      <c r="J5" s="88"/>
    </row>
    <row r="6" spans="1:15" ht="18" customHeight="1">
      <c r="A6" s="86"/>
      <c r="B6" s="87"/>
      <c r="C6" s="16" t="s">
        <v>16</v>
      </c>
      <c r="D6" s="16" t="s">
        <v>17</v>
      </c>
      <c r="E6" s="16" t="s">
        <v>16</v>
      </c>
      <c r="F6" s="17" t="s">
        <v>17</v>
      </c>
      <c r="G6" s="87"/>
      <c r="H6" s="18" t="s">
        <v>18</v>
      </c>
      <c r="I6" s="17" t="s">
        <v>19</v>
      </c>
      <c r="J6" s="18" t="s">
        <v>20</v>
      </c>
    </row>
    <row r="7" spans="1:15" ht="18" customHeight="1">
      <c r="A7" s="19"/>
      <c r="B7" s="20">
        <f>G7/(1+C7+E7)</f>
        <v>0</v>
      </c>
      <c r="C7" s="21">
        <v>0.02</v>
      </c>
      <c r="D7" s="22">
        <f>G7/(1+E7+C7)*C7</f>
        <v>0</v>
      </c>
      <c r="E7" s="21"/>
      <c r="F7" s="20">
        <f>G7/(1+C7+E7)*E7</f>
        <v>0</v>
      </c>
      <c r="G7" s="23"/>
      <c r="H7" s="19"/>
      <c r="I7" s="20"/>
      <c r="J7" s="46"/>
    </row>
    <row r="8" spans="1:15" ht="18" customHeight="1">
      <c r="A8" s="19">
        <v>42747</v>
      </c>
      <c r="B8" s="20">
        <f t="shared" ref="B8:B12" si="0">G8/(1+C8+E8)</f>
        <v>2252252.25225225</v>
      </c>
      <c r="C8" s="21">
        <v>0.02</v>
      </c>
      <c r="D8" s="22">
        <f t="shared" ref="D8:D12" si="1">G8/(1+E8+C8)*C8</f>
        <v>45045.045045045001</v>
      </c>
      <c r="E8" s="24">
        <v>0.09</v>
      </c>
      <c r="F8" s="20">
        <f t="shared" ref="F8:F12" si="2">G8/(1+C8+E8)*E8</f>
        <v>202702.70270270301</v>
      </c>
      <c r="G8" s="23">
        <v>2500000</v>
      </c>
      <c r="H8" s="19" t="s">
        <v>21</v>
      </c>
      <c r="I8" s="20">
        <v>2500000</v>
      </c>
      <c r="J8" s="46" t="s">
        <v>22</v>
      </c>
    </row>
    <row r="9" spans="1:15" ht="18" customHeight="1">
      <c r="A9" s="19">
        <v>42894</v>
      </c>
      <c r="B9" s="20">
        <f t="shared" si="0"/>
        <v>2432432.4324324299</v>
      </c>
      <c r="C9" s="21">
        <v>0.02</v>
      </c>
      <c r="D9" s="22">
        <f t="shared" si="1"/>
        <v>48648.648648648603</v>
      </c>
      <c r="E9" s="24">
        <v>0.09</v>
      </c>
      <c r="F9" s="20">
        <f t="shared" si="2"/>
        <v>218918.91891891899</v>
      </c>
      <c r="G9" s="23">
        <v>2700000</v>
      </c>
      <c r="H9" s="19" t="s">
        <v>23</v>
      </c>
      <c r="I9" s="20">
        <v>2700000</v>
      </c>
      <c r="J9" s="46" t="s">
        <v>24</v>
      </c>
    </row>
    <row r="10" spans="1:15" ht="18" customHeight="1">
      <c r="A10" s="19" t="s">
        <v>25</v>
      </c>
      <c r="B10" s="20">
        <f t="shared" si="0"/>
        <v>343376.42342342302</v>
      </c>
      <c r="C10" s="21">
        <v>0.02</v>
      </c>
      <c r="D10" s="22">
        <f t="shared" si="1"/>
        <v>6867.5284684684702</v>
      </c>
      <c r="E10" s="24">
        <v>0.09</v>
      </c>
      <c r="F10" s="20">
        <f t="shared" si="2"/>
        <v>30903.8781081081</v>
      </c>
      <c r="G10" s="23">
        <v>381147.83</v>
      </c>
      <c r="H10" s="19" t="s">
        <v>26</v>
      </c>
      <c r="I10" s="20">
        <v>381147.83</v>
      </c>
      <c r="J10" s="46" t="s">
        <v>24</v>
      </c>
    </row>
    <row r="11" spans="1:15" ht="18" customHeight="1">
      <c r="A11" s="19"/>
      <c r="B11" s="20">
        <f t="shared" si="0"/>
        <v>154840.577981651</v>
      </c>
      <c r="C11" s="24">
        <v>0.02</v>
      </c>
      <c r="D11" s="22">
        <f t="shared" si="1"/>
        <v>3096.8115596330299</v>
      </c>
      <c r="E11" s="24">
        <v>7.0000000000000007E-2</v>
      </c>
      <c r="F11" s="20">
        <f t="shared" si="2"/>
        <v>10838.8404587156</v>
      </c>
      <c r="G11" s="23">
        <v>168776.23</v>
      </c>
      <c r="H11" s="19"/>
      <c r="I11" s="20"/>
      <c r="J11" s="46"/>
    </row>
    <row r="12" spans="1:15" ht="18" customHeight="1">
      <c r="A12" s="19"/>
      <c r="B12" s="20">
        <f t="shared" si="0"/>
        <v>1548418.5596330301</v>
      </c>
      <c r="C12" s="24">
        <v>0.02</v>
      </c>
      <c r="D12" s="22">
        <f t="shared" si="1"/>
        <v>30968.371192660499</v>
      </c>
      <c r="E12" s="24">
        <v>7.0000000000000007E-2</v>
      </c>
      <c r="F12" s="20">
        <f t="shared" si="2"/>
        <v>108389.29917431199</v>
      </c>
      <c r="G12" s="23">
        <v>1687776.23</v>
      </c>
      <c r="H12" s="19"/>
      <c r="I12" s="20"/>
      <c r="J12" s="46"/>
    </row>
    <row r="13" spans="1:15" ht="18" customHeight="1">
      <c r="A13" s="25" t="s">
        <v>28</v>
      </c>
      <c r="B13" s="26">
        <f>SUM(B7:B10)</f>
        <v>5028061.1081081098</v>
      </c>
      <c r="C13" s="27"/>
      <c r="D13" s="28">
        <f>SUM(D7:D10)</f>
        <v>100561.222162162</v>
      </c>
      <c r="E13" s="27"/>
      <c r="F13" s="29">
        <f>SUM(F7:F12)</f>
        <v>571753.63936275698</v>
      </c>
      <c r="G13" s="28">
        <f>SUM(G7:G12)</f>
        <v>7437700.29</v>
      </c>
      <c r="H13" s="30"/>
      <c r="I13" s="28">
        <f>SUM(I7:I12)</f>
        <v>5581147.8300000001</v>
      </c>
      <c r="J13" s="30"/>
    </row>
    <row r="14" spans="1:15" ht="18" customHeight="1">
      <c r="A14" s="3" t="s">
        <v>29</v>
      </c>
      <c r="J14" s="5"/>
      <c r="K14" s="5"/>
      <c r="L14" s="6"/>
    </row>
    <row r="15" spans="1:15" ht="18" customHeight="1">
      <c r="A15" s="31" t="s">
        <v>30</v>
      </c>
      <c r="B15" s="17" t="s">
        <v>31</v>
      </c>
      <c r="C15" s="16" t="s">
        <v>32</v>
      </c>
      <c r="D15" s="16" t="s">
        <v>33</v>
      </c>
      <c r="E15" s="16" t="s">
        <v>16</v>
      </c>
      <c r="F15" s="17" t="s">
        <v>34</v>
      </c>
      <c r="G15" s="17" t="s">
        <v>14</v>
      </c>
      <c r="H15" s="16" t="s">
        <v>35</v>
      </c>
      <c r="I15" s="17" t="s">
        <v>36</v>
      </c>
      <c r="J15" s="16" t="s">
        <v>20</v>
      </c>
      <c r="K15" s="53" t="s">
        <v>37</v>
      </c>
      <c r="L15" s="18" t="s">
        <v>38</v>
      </c>
      <c r="M15" s="18" t="s">
        <v>39</v>
      </c>
      <c r="N15" s="18" t="s">
        <v>40</v>
      </c>
      <c r="O15" s="18" t="s">
        <v>41</v>
      </c>
    </row>
    <row r="16" spans="1:15" s="1" customFormat="1" ht="18" customHeight="1">
      <c r="A16" s="32"/>
      <c r="B16" s="14">
        <f t="shared" ref="B16:B33" si="3">ROUND(G16/(1+E16),2)</f>
        <v>0</v>
      </c>
      <c r="C16" s="33"/>
      <c r="D16" s="34"/>
      <c r="E16" s="35"/>
      <c r="F16" s="14">
        <f t="shared" ref="F16:F31" si="4">ROUND(G16/(1+E16)*E16,2)</f>
        <v>0</v>
      </c>
      <c r="G16" s="23"/>
      <c r="H16" s="19"/>
      <c r="I16" s="20"/>
      <c r="J16" s="46"/>
      <c r="K16" s="54"/>
      <c r="L16" s="55"/>
      <c r="M16" s="56"/>
      <c r="N16" s="56"/>
      <c r="O16" s="55"/>
    </row>
    <row r="17" spans="1:15" s="1" customFormat="1" ht="18" customHeight="1">
      <c r="A17" s="32"/>
      <c r="B17" s="14">
        <f t="shared" si="3"/>
        <v>0</v>
      </c>
      <c r="C17" s="33"/>
      <c r="D17" s="34"/>
      <c r="E17" s="35"/>
      <c r="F17" s="14">
        <f t="shared" si="4"/>
        <v>0</v>
      </c>
      <c r="G17" s="23"/>
      <c r="H17" s="19"/>
      <c r="I17" s="20"/>
      <c r="J17" s="46"/>
      <c r="K17" s="54"/>
      <c r="L17" s="55"/>
      <c r="M17" s="56"/>
      <c r="N17" s="56"/>
      <c r="O17" s="55"/>
    </row>
    <row r="18" spans="1:15" s="1" customFormat="1" ht="18" customHeight="1">
      <c r="A18" s="32"/>
      <c r="B18" s="14">
        <f t="shared" si="3"/>
        <v>0</v>
      </c>
      <c r="C18" s="33"/>
      <c r="D18" s="34"/>
      <c r="E18" s="35"/>
      <c r="F18" s="14">
        <f t="shared" si="4"/>
        <v>0</v>
      </c>
      <c r="G18" s="23"/>
      <c r="H18" s="19"/>
      <c r="I18" s="20"/>
      <c r="J18" s="46"/>
      <c r="K18" s="54"/>
      <c r="L18" s="55"/>
      <c r="M18" s="56"/>
      <c r="N18" s="56"/>
      <c r="O18" s="55"/>
    </row>
    <row r="19" spans="1:15" s="1" customFormat="1" ht="18" customHeight="1">
      <c r="A19" s="32"/>
      <c r="B19" s="14">
        <f t="shared" si="3"/>
        <v>0</v>
      </c>
      <c r="C19" s="33"/>
      <c r="D19" s="34"/>
      <c r="E19" s="35"/>
      <c r="F19" s="14">
        <f t="shared" si="4"/>
        <v>0</v>
      </c>
      <c r="G19" s="23"/>
      <c r="H19" s="19"/>
      <c r="I19" s="20"/>
      <c r="J19" s="46"/>
      <c r="K19" s="54"/>
      <c r="L19" s="55"/>
      <c r="M19" s="56"/>
      <c r="N19" s="56"/>
      <c r="O19" s="55"/>
    </row>
    <row r="20" spans="1:15" s="1" customFormat="1" ht="18" customHeight="1">
      <c r="A20" s="32"/>
      <c r="B20" s="14">
        <f t="shared" si="3"/>
        <v>0</v>
      </c>
      <c r="C20" s="33"/>
      <c r="D20" s="34"/>
      <c r="E20" s="35"/>
      <c r="F20" s="14">
        <f t="shared" si="4"/>
        <v>0</v>
      </c>
      <c r="G20" s="23"/>
      <c r="H20" s="19"/>
      <c r="I20" s="20"/>
      <c r="J20" s="46"/>
      <c r="K20" s="54"/>
      <c r="L20" s="55"/>
      <c r="M20" s="56"/>
      <c r="N20" s="56"/>
      <c r="O20" s="55"/>
    </row>
    <row r="21" spans="1:15" s="1" customFormat="1" ht="18" customHeight="1">
      <c r="A21" s="32"/>
      <c r="B21" s="14">
        <f t="shared" si="3"/>
        <v>0</v>
      </c>
      <c r="C21" s="33"/>
      <c r="D21" s="34"/>
      <c r="E21" s="35"/>
      <c r="F21" s="14">
        <f t="shared" si="4"/>
        <v>0</v>
      </c>
      <c r="G21" s="23"/>
      <c r="H21" s="19"/>
      <c r="I21" s="20"/>
      <c r="J21" s="46"/>
      <c r="K21" s="54"/>
      <c r="L21" s="55"/>
      <c r="M21" s="56"/>
      <c r="N21" s="56"/>
      <c r="O21" s="55"/>
    </row>
    <row r="22" spans="1:15" s="1" customFormat="1" ht="18" customHeight="1">
      <c r="A22" s="32"/>
      <c r="B22" s="14">
        <f t="shared" si="3"/>
        <v>0</v>
      </c>
      <c r="C22" s="33"/>
      <c r="D22" s="34"/>
      <c r="E22" s="35"/>
      <c r="F22" s="14">
        <f t="shared" si="4"/>
        <v>0</v>
      </c>
      <c r="G22" s="23"/>
      <c r="H22" s="19" t="s">
        <v>23</v>
      </c>
      <c r="I22" s="20">
        <v>-300000</v>
      </c>
      <c r="J22" s="46" t="s">
        <v>42</v>
      </c>
      <c r="K22" s="54" t="s">
        <v>4</v>
      </c>
      <c r="L22" s="55"/>
      <c r="M22" s="56"/>
      <c r="N22" s="56"/>
      <c r="O22" s="55"/>
    </row>
    <row r="23" spans="1:15" s="1" customFormat="1" ht="18" customHeight="1">
      <c r="A23" s="32"/>
      <c r="B23" s="14">
        <f t="shared" si="3"/>
        <v>0</v>
      </c>
      <c r="C23" s="33"/>
      <c r="D23" s="34"/>
      <c r="E23" s="35"/>
      <c r="F23" s="14">
        <f t="shared" si="4"/>
        <v>0</v>
      </c>
      <c r="G23" s="23"/>
      <c r="H23" s="19" t="s">
        <v>23</v>
      </c>
      <c r="I23" s="20">
        <v>-300000</v>
      </c>
      <c r="J23" s="46" t="s">
        <v>42</v>
      </c>
      <c r="K23" s="54" t="s">
        <v>4</v>
      </c>
      <c r="L23" s="55"/>
      <c r="M23" s="56"/>
      <c r="N23" s="56"/>
      <c r="O23" s="55"/>
    </row>
    <row r="24" spans="1:15" s="1" customFormat="1" ht="18" customHeight="1">
      <c r="A24" s="32"/>
      <c r="B24" s="14">
        <f t="shared" si="3"/>
        <v>0</v>
      </c>
      <c r="C24" s="33"/>
      <c r="D24" s="34"/>
      <c r="E24" s="35"/>
      <c r="F24" s="14">
        <f t="shared" si="4"/>
        <v>0</v>
      </c>
      <c r="G24" s="23"/>
      <c r="H24" s="19" t="s">
        <v>43</v>
      </c>
      <c r="I24" s="20">
        <v>-300000</v>
      </c>
      <c r="J24" s="46" t="s">
        <v>42</v>
      </c>
      <c r="K24" s="54" t="s">
        <v>4</v>
      </c>
      <c r="L24" s="55"/>
      <c r="M24" s="56"/>
      <c r="N24" s="56"/>
      <c r="O24" s="55"/>
    </row>
    <row r="25" spans="1:15" s="1" customFormat="1" ht="18" customHeight="1">
      <c r="A25" s="32"/>
      <c r="B25" s="14">
        <f t="shared" si="3"/>
        <v>0</v>
      </c>
      <c r="C25" s="33"/>
      <c r="D25" s="34"/>
      <c r="E25" s="35"/>
      <c r="F25" s="14">
        <f t="shared" si="4"/>
        <v>0</v>
      </c>
      <c r="G25" s="23"/>
      <c r="H25" s="19" t="s">
        <v>21</v>
      </c>
      <c r="I25" s="20">
        <v>-200000</v>
      </c>
      <c r="J25" s="46" t="s">
        <v>42</v>
      </c>
      <c r="K25" s="54" t="s">
        <v>4</v>
      </c>
      <c r="L25" s="55"/>
      <c r="M25" s="56"/>
      <c r="N25" s="56"/>
      <c r="O25" s="55"/>
    </row>
    <row r="26" spans="1:15" s="1" customFormat="1" ht="18" customHeight="1">
      <c r="A26" s="32"/>
      <c r="B26" s="14">
        <f t="shared" si="3"/>
        <v>0</v>
      </c>
      <c r="C26" s="33"/>
      <c r="D26" s="34"/>
      <c r="E26" s="35"/>
      <c r="F26" s="14">
        <f t="shared" si="4"/>
        <v>0</v>
      </c>
      <c r="G26" s="23"/>
      <c r="H26" s="19" t="s">
        <v>21</v>
      </c>
      <c r="I26" s="20">
        <v>-180000</v>
      </c>
      <c r="J26" s="46" t="s">
        <v>42</v>
      </c>
      <c r="K26" s="54" t="s">
        <v>4</v>
      </c>
      <c r="L26" s="55"/>
      <c r="M26" s="56"/>
      <c r="N26" s="56"/>
      <c r="O26" s="55"/>
    </row>
    <row r="27" spans="1:15" s="1" customFormat="1" ht="18" customHeight="1">
      <c r="A27" s="32"/>
      <c r="B27" s="14">
        <f t="shared" si="3"/>
        <v>0</v>
      </c>
      <c r="C27" s="33"/>
      <c r="D27" s="34"/>
      <c r="E27" s="35"/>
      <c r="F27" s="14">
        <f t="shared" si="4"/>
        <v>0</v>
      </c>
      <c r="G27" s="23"/>
      <c r="H27" s="19" t="s">
        <v>21</v>
      </c>
      <c r="I27" s="20">
        <v>2235054.79</v>
      </c>
      <c r="J27" s="46" t="s">
        <v>42</v>
      </c>
      <c r="K27" s="54" t="s">
        <v>4</v>
      </c>
      <c r="L27" s="55"/>
      <c r="M27" s="56"/>
      <c r="N27" s="56"/>
      <c r="O27" s="55"/>
    </row>
    <row r="28" spans="1:15" s="1" customFormat="1" ht="18" customHeight="1">
      <c r="A28" s="32">
        <v>42736</v>
      </c>
      <c r="B28" s="14">
        <f t="shared" si="3"/>
        <v>196615.38</v>
      </c>
      <c r="C28" s="33"/>
      <c r="D28" s="34" t="s">
        <v>44</v>
      </c>
      <c r="E28" s="36">
        <v>0.17</v>
      </c>
      <c r="F28" s="14">
        <f t="shared" si="4"/>
        <v>33424.620000000003</v>
      </c>
      <c r="G28" s="23">
        <v>230040</v>
      </c>
      <c r="H28" s="19"/>
      <c r="I28" s="20"/>
      <c r="J28" s="46"/>
      <c r="K28" s="54" t="s">
        <v>45</v>
      </c>
      <c r="L28" s="55" t="s">
        <v>46</v>
      </c>
      <c r="M28" s="56"/>
      <c r="N28" s="56"/>
      <c r="O28" s="55"/>
    </row>
    <row r="29" spans="1:15" s="1" customFormat="1" ht="18" customHeight="1">
      <c r="A29" s="32"/>
      <c r="B29" s="14">
        <f t="shared" si="3"/>
        <v>0</v>
      </c>
      <c r="C29" s="33"/>
      <c r="D29" s="34"/>
      <c r="E29" s="35"/>
      <c r="F29" s="14">
        <f t="shared" si="4"/>
        <v>0</v>
      </c>
      <c r="G29" s="23"/>
      <c r="H29" s="19" t="s">
        <v>21</v>
      </c>
      <c r="I29" s="20">
        <v>180000</v>
      </c>
      <c r="J29" s="46" t="s">
        <v>24</v>
      </c>
      <c r="K29" s="54" t="s">
        <v>45</v>
      </c>
      <c r="L29" s="55"/>
      <c r="M29" s="56"/>
      <c r="N29" s="56"/>
      <c r="O29" s="55"/>
    </row>
    <row r="30" spans="1:15" s="1" customFormat="1" ht="18" customHeight="1">
      <c r="A30" s="32">
        <v>42736</v>
      </c>
      <c r="B30" s="14">
        <f t="shared" si="3"/>
        <v>196581.2</v>
      </c>
      <c r="C30" s="33"/>
      <c r="D30" s="34" t="s">
        <v>44</v>
      </c>
      <c r="E30" s="36">
        <v>0.17</v>
      </c>
      <c r="F30" s="14">
        <f t="shared" si="4"/>
        <v>33418.800000000003</v>
      </c>
      <c r="G30" s="23">
        <v>230000</v>
      </c>
      <c r="H30" s="19"/>
      <c r="I30" s="20"/>
      <c r="J30" s="46"/>
      <c r="K30" s="54" t="s">
        <v>45</v>
      </c>
      <c r="L30" s="55" t="s">
        <v>47</v>
      </c>
      <c r="M30" s="56"/>
      <c r="N30" s="56"/>
      <c r="O30" s="55"/>
    </row>
    <row r="31" spans="1:15" s="1" customFormat="1" ht="18" customHeight="1">
      <c r="A31" s="32">
        <v>42736</v>
      </c>
      <c r="B31" s="14">
        <f t="shared" si="3"/>
        <v>118860</v>
      </c>
      <c r="C31" s="33"/>
      <c r="D31" s="34"/>
      <c r="E31" s="35"/>
      <c r="F31" s="14">
        <f t="shared" si="4"/>
        <v>0</v>
      </c>
      <c r="G31" s="23">
        <v>118860</v>
      </c>
      <c r="H31" s="19"/>
      <c r="I31" s="20"/>
      <c r="J31" s="46"/>
      <c r="K31" s="54" t="s">
        <v>4</v>
      </c>
      <c r="L31" s="55" t="s">
        <v>47</v>
      </c>
      <c r="M31" s="56"/>
      <c r="N31" s="56"/>
      <c r="O31" s="55" t="s">
        <v>48</v>
      </c>
    </row>
    <row r="32" spans="1:15" s="1" customFormat="1" ht="18" customHeight="1">
      <c r="A32" s="32"/>
      <c r="B32" s="14">
        <f t="shared" si="3"/>
        <v>0</v>
      </c>
      <c r="C32" s="33"/>
      <c r="D32" s="34"/>
      <c r="E32" s="35"/>
      <c r="F32" s="14">
        <f t="shared" ref="F32:F54" si="5">ROUND(G32/(1+E32)*E32,2)</f>
        <v>0</v>
      </c>
      <c r="G32" s="23"/>
      <c r="H32" s="19" t="s">
        <v>49</v>
      </c>
      <c r="I32" s="20">
        <v>200000</v>
      </c>
      <c r="J32" s="46" t="s">
        <v>24</v>
      </c>
      <c r="K32" s="54" t="s">
        <v>45</v>
      </c>
      <c r="L32" s="55"/>
      <c r="M32" s="56"/>
      <c r="N32" s="56"/>
      <c r="O32" s="55"/>
    </row>
    <row r="33" spans="1:15" s="1" customFormat="1" ht="18" customHeight="1">
      <c r="A33" s="32"/>
      <c r="B33" s="14">
        <f t="shared" si="3"/>
        <v>0</v>
      </c>
      <c r="C33" s="33"/>
      <c r="D33" s="34"/>
      <c r="E33" s="35"/>
      <c r="F33" s="14">
        <f t="shared" si="5"/>
        <v>0</v>
      </c>
      <c r="G33" s="23"/>
      <c r="H33" s="19" t="s">
        <v>49</v>
      </c>
      <c r="I33" s="20">
        <v>300000</v>
      </c>
      <c r="J33" s="46" t="s">
        <v>24</v>
      </c>
      <c r="K33" s="54" t="s">
        <v>45</v>
      </c>
      <c r="L33" s="55"/>
      <c r="M33" s="56"/>
      <c r="N33" s="56"/>
      <c r="O33" s="55"/>
    </row>
    <row r="34" spans="1:15" s="1" customFormat="1" ht="18" customHeight="1">
      <c r="A34" s="32">
        <v>42887</v>
      </c>
      <c r="B34" s="14">
        <f t="shared" ref="B34:B54" si="6">ROUND(G34/(1+E34),2)</f>
        <v>1256036.1100000001</v>
      </c>
      <c r="C34" s="33"/>
      <c r="D34" s="34" t="s">
        <v>44</v>
      </c>
      <c r="E34" s="36">
        <v>0.17</v>
      </c>
      <c r="F34" s="14">
        <f t="shared" si="5"/>
        <v>213526.14</v>
      </c>
      <c r="G34" s="23">
        <v>1469562.25</v>
      </c>
      <c r="H34" s="19"/>
      <c r="I34" s="20"/>
      <c r="J34" s="46"/>
      <c r="K34" s="54" t="s">
        <v>45</v>
      </c>
      <c r="L34" s="55" t="s">
        <v>46</v>
      </c>
      <c r="M34" s="56"/>
      <c r="N34" s="56"/>
      <c r="O34" s="55"/>
    </row>
    <row r="35" spans="1:15" s="1" customFormat="1" ht="18" customHeight="1">
      <c r="A35" s="32">
        <v>42887</v>
      </c>
      <c r="B35" s="14">
        <f t="shared" si="6"/>
        <v>99450</v>
      </c>
      <c r="C35" s="33"/>
      <c r="D35" s="34"/>
      <c r="E35" s="35"/>
      <c r="F35" s="14">
        <f t="shared" si="5"/>
        <v>0</v>
      </c>
      <c r="G35" s="23">
        <v>99450</v>
      </c>
      <c r="H35" s="19"/>
      <c r="I35" s="20"/>
      <c r="J35" s="46"/>
      <c r="K35" s="54" t="s">
        <v>4</v>
      </c>
      <c r="L35" s="55" t="s">
        <v>50</v>
      </c>
      <c r="M35" s="56"/>
      <c r="N35" s="56"/>
      <c r="O35" s="55" t="s">
        <v>48</v>
      </c>
    </row>
    <row r="36" spans="1:15" s="1" customFormat="1" ht="18" customHeight="1">
      <c r="A36" s="32"/>
      <c r="B36" s="14">
        <f t="shared" si="6"/>
        <v>0</v>
      </c>
      <c r="C36" s="33"/>
      <c r="D36" s="34"/>
      <c r="E36" s="35"/>
      <c r="F36" s="14">
        <f t="shared" si="5"/>
        <v>0</v>
      </c>
      <c r="G36" s="23"/>
      <c r="H36" s="19" t="s">
        <v>23</v>
      </c>
      <c r="I36" s="20">
        <v>2161539.2400000002</v>
      </c>
      <c r="J36" s="57" t="s">
        <v>42</v>
      </c>
      <c r="K36" s="54" t="s">
        <v>4</v>
      </c>
      <c r="L36" s="55"/>
      <c r="M36" s="56"/>
      <c r="N36" s="56"/>
      <c r="O36" s="55"/>
    </row>
    <row r="37" spans="1:15" s="1" customFormat="1" ht="18" customHeight="1">
      <c r="A37" s="32">
        <v>42887</v>
      </c>
      <c r="B37" s="14">
        <f t="shared" si="6"/>
        <v>57762</v>
      </c>
      <c r="C37" s="33"/>
      <c r="D37" s="34"/>
      <c r="E37" s="35"/>
      <c r="F37" s="14">
        <f t="shared" si="5"/>
        <v>0</v>
      </c>
      <c r="G37" s="23">
        <v>57762</v>
      </c>
      <c r="H37" s="19"/>
      <c r="I37" s="20"/>
      <c r="J37" s="46"/>
      <c r="K37" s="54"/>
      <c r="L37" s="55" t="s">
        <v>51</v>
      </c>
      <c r="M37" s="56"/>
      <c r="N37" s="56"/>
      <c r="O37" s="55" t="s">
        <v>48</v>
      </c>
    </row>
    <row r="38" spans="1:15" s="1" customFormat="1" ht="18" customHeight="1">
      <c r="A38" s="32" t="s">
        <v>23</v>
      </c>
      <c r="B38" s="14">
        <f t="shared" si="6"/>
        <v>1851260</v>
      </c>
      <c r="C38" s="33"/>
      <c r="D38" s="34"/>
      <c r="E38" s="35"/>
      <c r="F38" s="14">
        <f t="shared" si="5"/>
        <v>0</v>
      </c>
      <c r="G38" s="23">
        <v>1851260</v>
      </c>
      <c r="H38" s="19"/>
      <c r="I38" s="20"/>
      <c r="J38" s="46"/>
      <c r="K38" s="54" t="s">
        <v>4</v>
      </c>
      <c r="L38" s="55" t="s">
        <v>52</v>
      </c>
      <c r="M38" s="56"/>
      <c r="N38" s="56"/>
      <c r="O38" s="55"/>
    </row>
    <row r="39" spans="1:15" s="1" customFormat="1" ht="18" customHeight="1">
      <c r="A39" s="32"/>
      <c r="B39" s="14">
        <f t="shared" si="6"/>
        <v>0</v>
      </c>
      <c r="C39" s="33"/>
      <c r="D39" s="34"/>
      <c r="E39" s="35"/>
      <c r="F39" s="14">
        <f t="shared" si="5"/>
        <v>0</v>
      </c>
      <c r="G39" s="23"/>
      <c r="H39" s="19" t="s">
        <v>23</v>
      </c>
      <c r="I39" s="20">
        <v>300000</v>
      </c>
      <c r="J39" s="46" t="s">
        <v>24</v>
      </c>
      <c r="K39" s="54" t="s">
        <v>45</v>
      </c>
      <c r="L39" s="55"/>
      <c r="M39" s="56"/>
      <c r="N39" s="56"/>
      <c r="O39" s="55"/>
    </row>
    <row r="40" spans="1:15" s="1" customFormat="1" ht="18" customHeight="1">
      <c r="A40" s="32"/>
      <c r="B40" s="14">
        <f t="shared" si="6"/>
        <v>0</v>
      </c>
      <c r="C40" s="33"/>
      <c r="D40" s="34"/>
      <c r="E40" s="35"/>
      <c r="F40" s="14">
        <f t="shared" si="5"/>
        <v>0</v>
      </c>
      <c r="G40" s="23"/>
      <c r="H40" s="19" t="s">
        <v>23</v>
      </c>
      <c r="I40" s="20">
        <v>300000</v>
      </c>
      <c r="J40" s="46" t="s">
        <v>24</v>
      </c>
      <c r="K40" s="54" t="s">
        <v>45</v>
      </c>
      <c r="L40" s="55"/>
      <c r="M40" s="56"/>
      <c r="N40" s="56"/>
      <c r="O40" s="55"/>
    </row>
    <row r="41" spans="1:15" s="1" customFormat="1" ht="18" customHeight="1">
      <c r="A41" s="32"/>
      <c r="B41" s="14">
        <f t="shared" si="6"/>
        <v>0</v>
      </c>
      <c r="C41" s="33"/>
      <c r="D41" s="34"/>
      <c r="E41" s="35"/>
      <c r="F41" s="14">
        <f t="shared" si="5"/>
        <v>0</v>
      </c>
      <c r="G41" s="23"/>
      <c r="H41" s="19" t="s">
        <v>23</v>
      </c>
      <c r="I41" s="20">
        <v>500000</v>
      </c>
      <c r="J41" s="46" t="s">
        <v>24</v>
      </c>
      <c r="K41" s="54" t="s">
        <v>45</v>
      </c>
      <c r="L41" s="55"/>
      <c r="M41" s="56"/>
      <c r="N41" s="56"/>
      <c r="O41" s="55"/>
    </row>
    <row r="42" spans="1:15" s="2" customFormat="1" ht="18" customHeight="1">
      <c r="A42" s="32"/>
      <c r="B42" s="14">
        <f t="shared" si="6"/>
        <v>0</v>
      </c>
      <c r="C42" s="33"/>
      <c r="D42" s="34"/>
      <c r="E42" s="35"/>
      <c r="F42" s="14">
        <f t="shared" si="5"/>
        <v>0</v>
      </c>
      <c r="G42" s="37"/>
      <c r="H42" s="19" t="s">
        <v>26</v>
      </c>
      <c r="I42" s="20">
        <v>300000</v>
      </c>
      <c r="J42" s="57" t="s">
        <v>42</v>
      </c>
      <c r="K42" s="54" t="s">
        <v>4</v>
      </c>
      <c r="L42" s="55"/>
      <c r="M42" s="56"/>
      <c r="N42" s="56"/>
      <c r="O42" s="55"/>
    </row>
    <row r="43" spans="1:15" s="2" customFormat="1" ht="18" customHeight="1">
      <c r="A43" s="32" t="s">
        <v>26</v>
      </c>
      <c r="B43" s="14">
        <f t="shared" si="6"/>
        <v>380000</v>
      </c>
      <c r="C43" s="33"/>
      <c r="D43" s="34"/>
      <c r="E43" s="35"/>
      <c r="F43" s="14">
        <f t="shared" si="5"/>
        <v>0</v>
      </c>
      <c r="G43" s="37">
        <v>380000</v>
      </c>
      <c r="H43" s="19"/>
      <c r="I43" s="20"/>
      <c r="J43" s="57"/>
      <c r="K43" s="54" t="s">
        <v>4</v>
      </c>
      <c r="L43" s="55" t="s">
        <v>53</v>
      </c>
      <c r="M43" s="56"/>
      <c r="N43" s="56"/>
      <c r="O43" s="55" t="s">
        <v>48</v>
      </c>
    </row>
    <row r="44" spans="1:15" s="2" customFormat="1" ht="18" customHeight="1">
      <c r="A44" s="32"/>
      <c r="B44" s="14">
        <f t="shared" si="6"/>
        <v>0</v>
      </c>
      <c r="C44" s="33"/>
      <c r="D44" s="34"/>
      <c r="E44" s="35"/>
      <c r="F44" s="14">
        <f t="shared" si="5"/>
        <v>0</v>
      </c>
      <c r="G44" s="37"/>
      <c r="H44" s="19"/>
      <c r="I44" s="20"/>
      <c r="J44" s="57"/>
      <c r="K44" s="54"/>
      <c r="L44" s="55"/>
      <c r="M44" s="56"/>
      <c r="N44" s="56"/>
      <c r="O44" s="55"/>
    </row>
    <row r="45" spans="1:15" s="2" customFormat="1" ht="18" customHeight="1">
      <c r="A45" s="32"/>
      <c r="B45" s="14">
        <f t="shared" si="6"/>
        <v>0</v>
      </c>
      <c r="C45" s="33"/>
      <c r="D45" s="34"/>
      <c r="E45" s="35"/>
      <c r="F45" s="14">
        <f t="shared" si="5"/>
        <v>0</v>
      </c>
      <c r="G45" s="37"/>
      <c r="H45" s="19" t="s">
        <v>80</v>
      </c>
      <c r="I45" s="20">
        <v>46652.83</v>
      </c>
      <c r="J45" s="57" t="s">
        <v>81</v>
      </c>
      <c r="K45" s="54"/>
      <c r="L45" s="55"/>
      <c r="M45" s="56"/>
      <c r="N45" s="56"/>
      <c r="O45" s="55"/>
    </row>
    <row r="46" spans="1:15" s="2" customFormat="1" ht="18" customHeight="1">
      <c r="A46" s="32"/>
      <c r="B46" s="14">
        <f t="shared" si="6"/>
        <v>0</v>
      </c>
      <c r="C46" s="33"/>
      <c r="D46" s="34"/>
      <c r="E46" s="35"/>
      <c r="F46" s="14">
        <f t="shared" si="5"/>
        <v>0</v>
      </c>
      <c r="G46" s="37"/>
      <c r="H46" s="19" t="s">
        <v>80</v>
      </c>
      <c r="I46" s="20">
        <v>500</v>
      </c>
      <c r="J46" s="57" t="s">
        <v>69</v>
      </c>
      <c r="K46" s="54" t="s">
        <v>82</v>
      </c>
      <c r="L46" s="55"/>
      <c r="M46" s="56"/>
      <c r="N46" s="56"/>
      <c r="O46" s="55"/>
    </row>
    <row r="47" spans="1:15" s="2" customFormat="1" ht="18" customHeight="1">
      <c r="A47" s="32"/>
      <c r="B47" s="14">
        <f t="shared" si="6"/>
        <v>0</v>
      </c>
      <c r="C47" s="33"/>
      <c r="D47" s="34"/>
      <c r="E47" s="35"/>
      <c r="F47" s="14">
        <f t="shared" si="5"/>
        <v>0</v>
      </c>
      <c r="G47" s="37"/>
      <c r="H47" s="19" t="s">
        <v>80</v>
      </c>
      <c r="I47" s="20">
        <v>33995</v>
      </c>
      <c r="J47" s="57" t="s">
        <v>69</v>
      </c>
      <c r="K47" s="54" t="s">
        <v>83</v>
      </c>
      <c r="L47" s="55"/>
      <c r="M47" s="56"/>
      <c r="N47" s="56"/>
      <c r="O47" s="55"/>
    </row>
    <row r="48" spans="1:15" s="2" customFormat="1" ht="18" customHeight="1">
      <c r="A48" s="32"/>
      <c r="B48" s="14">
        <f t="shared" si="6"/>
        <v>0</v>
      </c>
      <c r="C48" s="33"/>
      <c r="D48" s="34"/>
      <c r="E48" s="35"/>
      <c r="F48" s="14">
        <f t="shared" si="5"/>
        <v>0</v>
      </c>
      <c r="G48" s="37"/>
      <c r="H48" s="19" t="s">
        <v>84</v>
      </c>
      <c r="I48" s="20">
        <v>5932.06</v>
      </c>
      <c r="J48" s="57" t="s">
        <v>69</v>
      </c>
      <c r="K48" s="54" t="s">
        <v>83</v>
      </c>
      <c r="L48" s="55"/>
      <c r="M48" s="56"/>
      <c r="N48" s="56"/>
      <c r="O48" s="55"/>
    </row>
    <row r="49" spans="1:15" s="2" customFormat="1" ht="18" customHeight="1">
      <c r="A49" s="32"/>
      <c r="B49" s="14">
        <f t="shared" si="6"/>
        <v>97528.7</v>
      </c>
      <c r="C49" s="33"/>
      <c r="D49" s="34"/>
      <c r="E49" s="35"/>
      <c r="F49" s="14">
        <f t="shared" si="5"/>
        <v>0</v>
      </c>
      <c r="G49" s="37">
        <f>97528.7</f>
        <v>97528.7</v>
      </c>
      <c r="H49" s="19" t="s">
        <v>84</v>
      </c>
      <c r="I49" s="20">
        <f>G49</f>
        <v>97528.7</v>
      </c>
      <c r="J49" s="57" t="s">
        <v>69</v>
      </c>
      <c r="K49" s="54" t="s">
        <v>87</v>
      </c>
      <c r="L49" s="55"/>
      <c r="M49" s="56"/>
      <c r="N49" s="56"/>
      <c r="O49" s="55"/>
    </row>
    <row r="50" spans="1:15" s="2" customFormat="1" ht="18" customHeight="1">
      <c r="A50" s="32"/>
      <c r="B50" s="14">
        <f t="shared" si="6"/>
        <v>0</v>
      </c>
      <c r="C50" s="33"/>
      <c r="D50" s="34"/>
      <c r="E50" s="35"/>
      <c r="F50" s="14">
        <f t="shared" si="5"/>
        <v>0</v>
      </c>
      <c r="G50" s="37"/>
      <c r="H50" s="38" t="s">
        <v>86</v>
      </c>
      <c r="I50" s="20">
        <v>500</v>
      </c>
      <c r="J50" s="57" t="s">
        <v>69</v>
      </c>
      <c r="K50" s="54" t="s">
        <v>82</v>
      </c>
      <c r="L50" s="55"/>
      <c r="M50" s="56"/>
      <c r="N50" s="56"/>
      <c r="O50" s="55"/>
    </row>
    <row r="51" spans="1:15" s="2" customFormat="1" ht="18" customHeight="1">
      <c r="A51" s="32"/>
      <c r="B51" s="14">
        <f t="shared" si="6"/>
        <v>0</v>
      </c>
      <c r="C51" s="33"/>
      <c r="D51" s="34"/>
      <c r="E51" s="35"/>
      <c r="F51" s="14">
        <f t="shared" si="5"/>
        <v>0</v>
      </c>
      <c r="G51" s="37"/>
      <c r="H51" s="38" t="s">
        <v>86</v>
      </c>
      <c r="I51" s="20">
        <v>149445.21</v>
      </c>
      <c r="J51" s="57" t="s">
        <v>69</v>
      </c>
      <c r="K51" s="54" t="s">
        <v>83</v>
      </c>
      <c r="L51" s="55"/>
      <c r="M51" s="56"/>
      <c r="N51" s="56"/>
      <c r="O51" s="55"/>
    </row>
    <row r="52" spans="1:15" s="2" customFormat="1" ht="18" customHeight="1">
      <c r="A52" s="32"/>
      <c r="B52" s="14">
        <f t="shared" si="6"/>
        <v>50000</v>
      </c>
      <c r="C52" s="33"/>
      <c r="D52" s="34"/>
      <c r="E52" s="35"/>
      <c r="F52" s="14">
        <f t="shared" si="5"/>
        <v>0</v>
      </c>
      <c r="G52" s="37">
        <f>50000</f>
        <v>50000</v>
      </c>
      <c r="H52" s="38" t="s">
        <v>86</v>
      </c>
      <c r="I52" s="20">
        <f>G52</f>
        <v>50000</v>
      </c>
      <c r="J52" s="57" t="s">
        <v>69</v>
      </c>
      <c r="K52" s="54" t="s">
        <v>87</v>
      </c>
      <c r="L52" s="55"/>
      <c r="M52" s="56"/>
      <c r="N52" s="56"/>
      <c r="O52" s="55"/>
    </row>
    <row r="53" spans="1:15" s="2" customFormat="1" ht="18" customHeight="1">
      <c r="A53" s="32"/>
      <c r="B53" s="14">
        <f t="shared" si="6"/>
        <v>0</v>
      </c>
      <c r="C53" s="33"/>
      <c r="D53" s="34"/>
      <c r="E53" s="35"/>
      <c r="F53" s="14">
        <f t="shared" si="5"/>
        <v>0</v>
      </c>
      <c r="G53" s="37"/>
      <c r="H53" s="19"/>
      <c r="I53" s="20"/>
      <c r="J53" s="57"/>
      <c r="K53" s="54"/>
      <c r="L53" s="55"/>
      <c r="M53" s="56"/>
      <c r="N53" s="56"/>
      <c r="O53" s="55"/>
    </row>
    <row r="54" spans="1:15" s="2" customFormat="1" ht="18" customHeight="1">
      <c r="A54" s="32"/>
      <c r="B54" s="14">
        <f t="shared" si="6"/>
        <v>0</v>
      </c>
      <c r="C54" s="33"/>
      <c r="D54" s="34"/>
      <c r="E54" s="35"/>
      <c r="F54" s="14">
        <f t="shared" si="5"/>
        <v>0</v>
      </c>
      <c r="G54" s="37"/>
      <c r="H54" s="19"/>
      <c r="I54" s="20"/>
      <c r="J54" s="57"/>
      <c r="K54" s="54"/>
      <c r="L54" s="55"/>
      <c r="M54" s="56"/>
      <c r="N54" s="56"/>
      <c r="O54" s="55"/>
    </row>
    <row r="55" spans="1:15" ht="18" customHeight="1">
      <c r="A55" s="27" t="s">
        <v>28</v>
      </c>
      <c r="B55" s="26">
        <f>SUM(B16:B54)</f>
        <v>4304093.3899999997</v>
      </c>
      <c r="C55" s="27"/>
      <c r="D55" s="39"/>
      <c r="E55" s="39"/>
      <c r="F55" s="29">
        <f>SUM(F16:F54)</f>
        <v>280369.56</v>
      </c>
      <c r="G55" s="40">
        <f>SUM(G16:G54)</f>
        <v>4584462.95</v>
      </c>
      <c r="H55" s="41"/>
      <c r="I55" s="28">
        <f>SUM(I16:I54)</f>
        <v>5581147.8300000001</v>
      </c>
      <c r="J55" s="58"/>
      <c r="K55" s="39"/>
      <c r="L55" s="30"/>
      <c r="M55" s="46"/>
      <c r="N55" s="46"/>
      <c r="O55" s="30"/>
    </row>
    <row r="56" spans="1:15" ht="18" customHeight="1">
      <c r="A56" s="42" t="s">
        <v>88</v>
      </c>
      <c r="B56" s="43">
        <f>B13-B55</f>
        <v>723967.71810810803</v>
      </c>
      <c r="C56" s="42"/>
      <c r="D56" s="44"/>
      <c r="E56" s="44"/>
      <c r="F56" s="43"/>
      <c r="G56" s="43">
        <f>G13-G55</f>
        <v>2853237.34</v>
      </c>
      <c r="H56" s="18" t="s">
        <v>89</v>
      </c>
      <c r="I56" s="28">
        <f>I13-I55</f>
        <v>0</v>
      </c>
      <c r="J56" s="7"/>
      <c r="K56" s="59"/>
      <c r="M56" s="60"/>
      <c r="N56" s="60"/>
    </row>
    <row r="57" spans="1:15" ht="18" customHeight="1">
      <c r="A57" s="3" t="s">
        <v>90</v>
      </c>
      <c r="C57" s="3"/>
    </row>
    <row r="58" spans="1:15" ht="18" customHeight="1">
      <c r="A58" s="18" t="s">
        <v>91</v>
      </c>
      <c r="B58" s="17" t="s">
        <v>92</v>
      </c>
      <c r="C58" s="30"/>
      <c r="D58" s="18" t="s">
        <v>91</v>
      </c>
      <c r="E58" s="16" t="s">
        <v>16</v>
      </c>
      <c r="F58" s="45" t="s">
        <v>92</v>
      </c>
      <c r="G58" s="20" t="s">
        <v>93</v>
      </c>
      <c r="K58" s="7">
        <f>B43+B49</f>
        <v>477528.7</v>
      </c>
    </row>
    <row r="59" spans="1:15" ht="18" customHeight="1">
      <c r="A59" s="30" t="s">
        <v>95</v>
      </c>
      <c r="B59" s="14">
        <f>(B13-B55)*0.25</f>
        <v>180991.92952702701</v>
      </c>
      <c r="C59" s="30"/>
      <c r="D59" s="8" t="s">
        <v>96</v>
      </c>
      <c r="E59" s="46" t="s">
        <v>97</v>
      </c>
      <c r="F59" s="47">
        <f>F13-F55</f>
        <v>291384.07936275698</v>
      </c>
      <c r="G59" s="20">
        <f>F11</f>
        <v>10838.8404587156</v>
      </c>
    </row>
    <row r="60" spans="1:15" ht="18" customHeight="1">
      <c r="A60" s="30" t="s">
        <v>98</v>
      </c>
      <c r="B60" s="48" t="s">
        <v>99</v>
      </c>
      <c r="C60" s="30"/>
      <c r="D60" s="49" t="s">
        <v>100</v>
      </c>
      <c r="E60" s="12">
        <v>0.05</v>
      </c>
      <c r="F60" s="50">
        <f>F59*E60</f>
        <v>14569.203968137899</v>
      </c>
      <c r="G60" s="20">
        <f>G59*E60</f>
        <v>541.94202293577996</v>
      </c>
    </row>
    <row r="61" spans="1:15" ht="18" customHeight="1">
      <c r="A61" s="30" t="s">
        <v>101</v>
      </c>
      <c r="B61" s="48" t="s">
        <v>99</v>
      </c>
      <c r="C61" s="30"/>
      <c r="D61" s="49" t="s">
        <v>102</v>
      </c>
      <c r="E61" s="12">
        <v>0.03</v>
      </c>
      <c r="F61" s="50">
        <f>F59*E61</f>
        <v>8741.5223808827195</v>
      </c>
      <c r="G61" s="20">
        <f>G59*E61</f>
        <v>325.16521376146801</v>
      </c>
    </row>
    <row r="62" spans="1:15" ht="18" customHeight="1">
      <c r="A62" s="30"/>
      <c r="B62" s="20"/>
      <c r="C62" s="30"/>
      <c r="D62" s="49" t="s">
        <v>103</v>
      </c>
      <c r="E62" s="12">
        <v>0.02</v>
      </c>
      <c r="F62" s="50">
        <f>F59*E62</f>
        <v>5827.6815872551397</v>
      </c>
      <c r="G62" s="20">
        <f>G59*E62</f>
        <v>216.77680917431201</v>
      </c>
    </row>
    <row r="63" spans="1:15" ht="18" customHeight="1">
      <c r="A63" s="25" t="s">
        <v>104</v>
      </c>
      <c r="B63" s="26">
        <f>SUM(B59:B62)</f>
        <v>180991.92952702701</v>
      </c>
      <c r="C63" s="30"/>
      <c r="D63" s="25" t="s">
        <v>104</v>
      </c>
      <c r="E63" s="25"/>
      <c r="F63" s="51">
        <f>SUM(F59:F62)</f>
        <v>320522.48729903297</v>
      </c>
      <c r="G63" s="20">
        <f>SUM(G59:G62)</f>
        <v>11922.7245045872</v>
      </c>
    </row>
    <row r="64" spans="1:15" ht="18" customHeight="1">
      <c r="C64" s="3"/>
      <c r="D64" s="27" t="s">
        <v>28</v>
      </c>
      <c r="E64" s="27"/>
      <c r="F64" s="28">
        <f>F63</f>
        <v>320522.48729903297</v>
      </c>
    </row>
    <row r="65" spans="3:7" ht="18" customHeight="1">
      <c r="C65" s="3"/>
    </row>
    <row r="66" spans="3:7" ht="18" customHeight="1">
      <c r="C66" s="3"/>
      <c r="G66" s="4">
        <f>B56*0.25</f>
        <v>180991.92952702701</v>
      </c>
    </row>
    <row r="67" spans="3:7" ht="18" customHeight="1">
      <c r="C67" s="3"/>
    </row>
    <row r="68" spans="3:7" ht="18" customHeight="1">
      <c r="C68" s="3"/>
    </row>
    <row r="69" spans="3:7">
      <c r="C69" s="3"/>
    </row>
    <row r="70" spans="3:7">
      <c r="C70" s="3"/>
    </row>
    <row r="71" spans="3:7">
      <c r="C71" s="3"/>
    </row>
    <row r="72" spans="3:7">
      <c r="C72" s="3"/>
    </row>
    <row r="73" spans="3:7">
      <c r="C73" s="3"/>
    </row>
    <row r="74" spans="3:7">
      <c r="C74" s="3"/>
    </row>
    <row r="75" spans="3:7">
      <c r="C75" s="3"/>
    </row>
    <row r="76" spans="3:7">
      <c r="C76" s="3"/>
    </row>
    <row r="77" spans="3:7">
      <c r="C77" s="3"/>
    </row>
    <row r="78" spans="3:7">
      <c r="C78" s="3"/>
    </row>
    <row r="79" spans="3:7">
      <c r="C79" s="3"/>
    </row>
    <row r="80" spans="3:7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0" type="noConversion"/>
  <pageMargins left="0.23611111111111099" right="0.23611111111111099" top="0.31458333333333299" bottom="0.156944444444444" header="0.31458333333333299" footer="0.31458333333333299"/>
  <pageSetup paperSize="9" orientation="landscape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F25" sqref="F25"/>
    </sheetView>
  </sheetViews>
  <sheetFormatPr defaultRowHeight="20.25" customHeight="1"/>
  <cols>
    <col min="1" max="1" width="33.875" style="90" customWidth="1"/>
    <col min="2" max="3" width="18.25" style="90" bestFit="1" customWidth="1"/>
    <col min="4" max="4" width="16.5" style="90" customWidth="1"/>
    <col min="5" max="16384" width="9" style="90"/>
  </cols>
  <sheetData>
    <row r="1" spans="1:4" ht="20.25" customHeight="1">
      <c r="A1" s="89" t="s">
        <v>105</v>
      </c>
      <c r="B1" s="90" t="s">
        <v>108</v>
      </c>
      <c r="C1" s="90" t="s">
        <v>109</v>
      </c>
      <c r="D1" s="92" t="s">
        <v>110</v>
      </c>
    </row>
    <row r="2" spans="1:4" ht="20.25" customHeight="1">
      <c r="A2" s="91" t="s">
        <v>45</v>
      </c>
      <c r="B2" s="90">
        <v>1929602.25</v>
      </c>
      <c r="C2" s="90">
        <v>1780000</v>
      </c>
      <c r="D2" s="90">
        <f>GETPIVOTDATA("求和项:价税合计",$A$1,"销货单位",A2)-GETPIVOTDATA("求和项:付款金额",$A$1,"销货单位",A2)</f>
        <v>149602.25</v>
      </c>
    </row>
    <row r="3" spans="1:4" ht="20.25" customHeight="1">
      <c r="A3" s="91" t="s">
        <v>4</v>
      </c>
      <c r="B3" s="90">
        <v>2449570</v>
      </c>
      <c r="C3" s="90">
        <v>2726847.9000000004</v>
      </c>
      <c r="D3" s="90">
        <f t="shared" ref="D3:D8" si="0">GETPIVOTDATA("求和项:价税合计",$A$1,"销货单位",A3)-GETPIVOTDATA("求和项:付款金额",$A$1,"销货单位",A3)</f>
        <v>-277277.90000000037</v>
      </c>
    </row>
    <row r="4" spans="1:4" ht="20.25" customHeight="1">
      <c r="A4" s="91" t="s">
        <v>60</v>
      </c>
      <c r="B4" s="90">
        <v>240000</v>
      </c>
      <c r="C4" s="90">
        <v>240000</v>
      </c>
      <c r="D4" s="90">
        <f t="shared" si="0"/>
        <v>0</v>
      </c>
    </row>
    <row r="5" spans="1:4" ht="20.25" customHeight="1">
      <c r="A5" s="91" t="s">
        <v>55</v>
      </c>
      <c r="B5" s="90">
        <v>1560000</v>
      </c>
      <c r="C5" s="90">
        <v>1560000</v>
      </c>
      <c r="D5" s="90">
        <f t="shared" si="0"/>
        <v>0</v>
      </c>
    </row>
    <row r="6" spans="1:4" ht="20.25" customHeight="1">
      <c r="A6" s="91" t="s">
        <v>62</v>
      </c>
      <c r="B6" s="90">
        <v>240000</v>
      </c>
      <c r="C6" s="90">
        <v>240000</v>
      </c>
      <c r="D6" s="90">
        <f t="shared" si="0"/>
        <v>0</v>
      </c>
    </row>
    <row r="7" spans="1:4" ht="20.25" customHeight="1">
      <c r="A7" s="91" t="s">
        <v>63</v>
      </c>
      <c r="B7" s="90">
        <v>240000</v>
      </c>
      <c r="C7" s="90">
        <v>240000</v>
      </c>
      <c r="D7" s="90">
        <f t="shared" si="0"/>
        <v>0</v>
      </c>
    </row>
    <row r="8" spans="1:4" ht="20.25" customHeight="1">
      <c r="A8" s="91" t="s">
        <v>106</v>
      </c>
      <c r="B8" s="90">
        <v>57762</v>
      </c>
      <c r="D8" s="90">
        <f t="shared" si="0"/>
        <v>57762</v>
      </c>
    </row>
    <row r="9" spans="1:4" ht="20.25" customHeight="1">
      <c r="A9" s="91" t="s">
        <v>107</v>
      </c>
      <c r="B9" s="90">
        <v>6716934.25</v>
      </c>
      <c r="C9" s="90">
        <v>6786847.9000000004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旧</vt:lpstr>
      <vt:lpstr>供应商支付情况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微软用户</cp:lastModifiedBy>
  <cp:lastPrinted>2016-11-23T10:22:00Z</cp:lastPrinted>
  <dcterms:created xsi:type="dcterms:W3CDTF">2016-07-12T06:03:00Z</dcterms:created>
  <dcterms:modified xsi:type="dcterms:W3CDTF">2024-09-10T00:37:08Z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