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6" r:id="rId1"/>
    <sheet name="旧" sheetId="4" r:id="rId2"/>
    <sheet name="Sheet2" sheetId="5" r:id="rId3"/>
  </sheets>
  <definedNames>
    <definedName name="_xlnm._FilterDatabase" localSheetId="0" hidden="1">新!$A$19:$O$82</definedName>
    <definedName name="_xlnm._FilterDatabase" localSheetId="1" hidden="1">旧!$A$19:$O$82</definedName>
  </definedNames>
  <calcPr calcId="144525" concurrentCalc="0"/>
</workbook>
</file>

<file path=xl/comments1.xml><?xml version="1.0" encoding="utf-8"?>
<comments xmlns="http://schemas.openxmlformats.org/spreadsheetml/2006/main">
  <authors>
    <author>cw007</author>
  </authors>
  <commentList>
    <comment ref="I29" authorId="0">
      <text>
        <r>
          <rPr>
            <b/>
            <sz val="9"/>
            <rFont val="宋体"/>
            <charset val="134"/>
          </rPr>
          <t>cw007:</t>
        </r>
        <r>
          <rPr>
            <sz val="9"/>
            <rFont val="宋体"/>
            <charset val="134"/>
          </rPr>
          <t xml:space="preserve">
150000+50000</t>
        </r>
      </text>
    </comment>
  </commentList>
</comments>
</file>

<file path=xl/comments2.xml><?xml version="1.0" encoding="utf-8"?>
<comments xmlns="http://schemas.openxmlformats.org/spreadsheetml/2006/main">
  <authors>
    <author>cw007</author>
  </authors>
  <commentList>
    <comment ref="I29" authorId="0">
      <text>
        <r>
          <rPr>
            <b/>
            <sz val="9"/>
            <rFont val="宋体"/>
            <charset val="134"/>
          </rPr>
          <t>cw007:</t>
        </r>
        <r>
          <rPr>
            <sz val="9"/>
            <rFont val="宋体"/>
            <charset val="134"/>
          </rPr>
          <t xml:space="preserve">
150000+50000</t>
        </r>
      </text>
    </comment>
  </commentList>
</comments>
</file>

<file path=xl/sharedStrings.xml><?xml version="1.0" encoding="utf-8"?>
<sst xmlns="http://schemas.openxmlformats.org/spreadsheetml/2006/main" count="462" uniqueCount="103">
  <si>
    <t>来安县半塔至杨郢乡级农村道路畅通工程三标段</t>
  </si>
  <si>
    <t>中标日期</t>
  </si>
  <si>
    <t>中标价</t>
  </si>
  <si>
    <t>负责人</t>
  </si>
  <si>
    <t>孙斌</t>
  </si>
  <si>
    <t>建设单位</t>
  </si>
  <si>
    <t>来安县农村公路管理局</t>
  </si>
  <si>
    <t>决算日期</t>
  </si>
  <si>
    <t>决算价</t>
  </si>
  <si>
    <t>B0218</t>
  </si>
  <si>
    <t>B2016032</t>
  </si>
  <si>
    <t>F0885</t>
  </si>
  <si>
    <t>销售开票：</t>
  </si>
  <si>
    <t>开票日期</t>
  </si>
  <si>
    <t>金额</t>
  </si>
  <si>
    <t>工程地缴税</t>
  </si>
  <si>
    <t>企业本地缴税</t>
  </si>
  <si>
    <t>价税合计</t>
  </si>
  <si>
    <t>到款情况</t>
  </si>
  <si>
    <t>滁州力达市政工程有限公司</t>
  </si>
  <si>
    <t>结算证明附9月322号凭证</t>
  </si>
  <si>
    <t>税率</t>
  </si>
  <si>
    <t>增值税额</t>
  </si>
  <si>
    <t>日期</t>
  </si>
  <si>
    <t>银行</t>
  </si>
  <si>
    <t>来安县八仙建材有限公司</t>
  </si>
  <si>
    <t>结算证明附9月323号凭证</t>
  </si>
  <si>
    <t>中行</t>
  </si>
  <si>
    <t>合计</t>
  </si>
  <si>
    <t>材料发票：</t>
  </si>
  <si>
    <t>开票金额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</si>
  <si>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</si>
  <si>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</si>
  <si>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</si>
  <si>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</si>
  <si>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</si>
  <si>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</si>
  <si>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</si>
  <si>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</si>
  <si>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</si>
  <si>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</si>
  <si>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专票</t>
  </si>
  <si>
    <t>沥青路面工程</t>
  </si>
  <si>
    <t>有</t>
  </si>
  <si>
    <t>无</t>
  </si>
  <si>
    <t>已带回</t>
  </si>
  <si>
    <t>徽行</t>
  </si>
  <si>
    <t>水泥</t>
  </si>
  <si>
    <t>16-12-</t>
  </si>
  <si>
    <t>工资表</t>
  </si>
  <si>
    <t>工资</t>
  </si>
  <si>
    <t>临沂沂河石化有限公司</t>
  </si>
  <si>
    <t>柴油</t>
  </si>
  <si>
    <t>安徽滁州市塔东商砼有限公司</t>
  </si>
  <si>
    <t>商品混凝土</t>
  </si>
  <si>
    <t>2016-12-21   2017-1-4</t>
  </si>
  <si>
    <t>冠县昊泰交通设施有限公司</t>
  </si>
  <si>
    <t>护栏板及配件</t>
  </si>
  <si>
    <t>2017-1-3、17-1-13</t>
  </si>
  <si>
    <t>现金</t>
  </si>
  <si>
    <t>宁国市金霞货运有限公司芜湖县分公司</t>
  </si>
  <si>
    <t>运费</t>
  </si>
  <si>
    <t>2017-1-24、17-6-7</t>
  </si>
  <si>
    <t>南京龙辉交通工程有限公司</t>
  </si>
  <si>
    <t>热熔涂料</t>
  </si>
  <si>
    <t>滁州市天然公路建材有限公司</t>
  </si>
  <si>
    <t>芜湖县继伟物流有限公司</t>
  </si>
  <si>
    <t>南京森淼商贸有限公司</t>
  </si>
  <si>
    <t>混凝土</t>
  </si>
  <si>
    <t>普代</t>
  </si>
  <si>
    <t>黄沙碎石</t>
  </si>
  <si>
    <t>锥桶</t>
  </si>
  <si>
    <t>来安县财政局</t>
  </si>
  <si>
    <t>罚款</t>
  </si>
  <si>
    <t>16年</t>
  </si>
  <si>
    <t>范圣龙</t>
  </si>
  <si>
    <t>退</t>
  </si>
  <si>
    <t>160万中退</t>
  </si>
  <si>
    <t>暂扣</t>
  </si>
  <si>
    <t>损失准备金1%</t>
  </si>
  <si>
    <t>扣</t>
  </si>
  <si>
    <t>借款160万</t>
  </si>
  <si>
    <t>18年8月开票扣税</t>
  </si>
  <si>
    <t>16/17年开票代扣水利基金</t>
  </si>
  <si>
    <t>代办费</t>
  </si>
  <si>
    <t>管理费</t>
  </si>
  <si>
    <t>可支付金额：</t>
  </si>
  <si>
    <t>尚需提供成本：</t>
  </si>
  <si>
    <t>本地申报税金</t>
  </si>
  <si>
    <t>税种</t>
  </si>
  <si>
    <t>税额</t>
  </si>
  <si>
    <t>16年开票扣税</t>
  </si>
  <si>
    <t>17年开票扣税</t>
  </si>
  <si>
    <t>18年开票扣税</t>
  </si>
  <si>
    <t>增值税</t>
  </si>
  <si>
    <t>差额</t>
  </si>
  <si>
    <t>附加</t>
  </si>
  <si>
    <t>城市维护建设税</t>
  </si>
  <si>
    <t>教育费附加</t>
  </si>
  <si>
    <t>地方教育费附加</t>
  </si>
  <si>
    <t>小计</t>
  </si>
  <si>
    <t>水利基金</t>
  </si>
  <si>
    <t>8月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</si>
</sst>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;@"/>
    <numFmt numFmtId="178" formatCode="yy/m/d;@"/>
    <numFmt numFmtId="179" formatCode="#,##0_ "/>
    <numFmt numFmtId="180" formatCode="0.0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仿宋_GB2312"/>
      <charset val="134"/>
    </font>
    <font>
      <sz val="9"/>
      <name val="仿宋_GB2312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78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2" fillId="0" borderId="3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178" fontId="1" fillId="0" borderId="3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9" fontId="2" fillId="0" borderId="3" xfId="11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vertical="center"/>
    </xf>
    <xf numFmtId="176" fontId="1" fillId="2" borderId="3" xfId="0" applyNumberFormat="1" applyFont="1" applyFill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3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78" fontId="5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9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9" fontId="1" fillId="0" borderId="3" xfId="11" applyFont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vertical="center"/>
    </xf>
    <xf numFmtId="179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9" fontId="1" fillId="0" borderId="3" xfId="1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178" fontId="1" fillId="4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9" fontId="6" fillId="0" borderId="3" xfId="11" applyFont="1" applyBorder="1" applyAlignment="1">
      <alignment horizontal="center" vertical="center"/>
    </xf>
    <xf numFmtId="176" fontId="6" fillId="4" borderId="3" xfId="0" applyNumberFormat="1" applyFont="1" applyFill="1" applyBorder="1" applyAlignment="1">
      <alignment vertical="center"/>
    </xf>
    <xf numFmtId="178" fontId="6" fillId="4" borderId="3" xfId="0" applyNumberFormat="1" applyFont="1" applyFill="1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0" fontId="7" fillId="0" borderId="0" xfId="49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49" applyNumberFormat="1" applyFont="1" applyFill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right" vertical="center"/>
    </xf>
    <xf numFmtId="10" fontId="5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0" fontId="1" fillId="0" borderId="3" xfId="0" applyNumberFormat="1" applyFont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10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2" fillId="4" borderId="3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80" fontId="2" fillId="3" borderId="3" xfId="0" applyNumberFormat="1" applyFont="1" applyFill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180" fontId="2" fillId="0" borderId="3" xfId="0" applyNumberFormat="1" applyFont="1" applyBorder="1" applyAlignment="1">
      <alignment vertical="center"/>
    </xf>
    <xf numFmtId="178" fontId="5" fillId="3" borderId="3" xfId="0" applyNumberFormat="1" applyFont="1" applyFill="1" applyBorder="1" applyAlignment="1">
      <alignment vertical="center"/>
    </xf>
    <xf numFmtId="180" fontId="5" fillId="3" borderId="3" xfId="0" applyNumberFormat="1" applyFont="1" applyFill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180" fontId="2" fillId="0" borderId="0" xfId="0" applyNumberFormat="1" applyFont="1" applyAlignment="1">
      <alignment vertical="center"/>
    </xf>
    <xf numFmtId="176" fontId="5" fillId="3" borderId="0" xfId="0" applyNumberFormat="1" applyFont="1" applyFill="1" applyAlignment="1">
      <alignment vertical="center"/>
    </xf>
    <xf numFmtId="178" fontId="5" fillId="3" borderId="0" xfId="0" applyNumberFormat="1" applyFont="1" applyFill="1" applyAlignment="1">
      <alignment vertical="center"/>
    </xf>
    <xf numFmtId="180" fontId="5" fillId="3" borderId="0" xfId="0" applyNumberFormat="1" applyFont="1" applyFill="1" applyAlignment="1">
      <alignment vertical="center"/>
    </xf>
    <xf numFmtId="10" fontId="5" fillId="0" borderId="3" xfId="0" applyNumberFormat="1" applyFont="1" applyFill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8" fontId="1" fillId="5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2" fillId="2" borderId="3" xfId="0" applyNumberFormat="1" applyFont="1" applyFill="1" applyBorder="1" applyAlignment="1">
      <alignment vertical="center"/>
    </xf>
    <xf numFmtId="178" fontId="2" fillId="5" borderId="3" xfId="0" applyNumberFormat="1" applyFont="1" applyFill="1" applyBorder="1" applyAlignment="1">
      <alignment horizontal="center" vertical="center"/>
    </xf>
    <xf numFmtId="176" fontId="2" fillId="5" borderId="3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0" fontId="2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0" fontId="1" fillId="5" borderId="3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"/>
  <sheetViews>
    <sheetView tabSelected="1" topLeftCell="A55" workbookViewId="0">
      <selection activeCell="G71" sqref="G71"/>
    </sheetView>
  </sheetViews>
  <sheetFormatPr defaultColWidth="9" defaultRowHeight="11.25"/>
  <cols>
    <col min="1" max="1" width="11.25" style="3" customWidth="1"/>
    <col min="2" max="2" width="15" style="4" customWidth="1"/>
    <col min="3" max="3" width="5.5" style="4" customWidth="1"/>
    <col min="4" max="4" width="12.875" style="4" customWidth="1"/>
    <col min="5" max="5" width="6.625" style="4" customWidth="1"/>
    <col min="6" max="6" width="13.625" style="4" customWidth="1"/>
    <col min="7" max="7" width="14.125" style="4" customWidth="1"/>
    <col min="8" max="8" width="15" style="4" customWidth="1"/>
    <col min="9" max="9" width="13.125" style="4" customWidth="1"/>
    <col min="10" max="10" width="8.375" style="5" customWidth="1"/>
    <col min="11" max="11" width="28" style="6" customWidth="1"/>
    <col min="12" max="12" width="10.625" style="6" customWidth="1"/>
    <col min="13" max="13" width="29.875" style="7" customWidth="1"/>
    <col min="14" max="14" width="9" style="7"/>
    <col min="15" max="15" width="17.5" style="6" customWidth="1"/>
    <col min="16" max="16384" width="9" style="6"/>
  </cols>
  <sheetData>
    <row r="1" ht="21.9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54"/>
      <c r="L1" s="54"/>
    </row>
    <row r="2" ht="18" customHeight="1" spans="1:12">
      <c r="A2" s="10" t="s">
        <v>1</v>
      </c>
      <c r="B2" s="11">
        <v>42555</v>
      </c>
      <c r="C2" s="12" t="s">
        <v>2</v>
      </c>
      <c r="D2" s="12">
        <v>11923333.02</v>
      </c>
      <c r="E2" s="13" t="s">
        <v>3</v>
      </c>
      <c r="F2" s="12" t="s">
        <v>4</v>
      </c>
      <c r="G2" s="13" t="s">
        <v>5</v>
      </c>
      <c r="H2" s="14" t="s">
        <v>6</v>
      </c>
      <c r="I2" s="14"/>
      <c r="J2" s="14"/>
      <c r="K2" s="55"/>
      <c r="L2" s="55"/>
    </row>
    <row r="3" ht="18" customHeight="1" spans="1:12">
      <c r="A3" s="10" t="s">
        <v>7</v>
      </c>
      <c r="B3" s="15"/>
      <c r="C3" s="12" t="s">
        <v>8</v>
      </c>
      <c r="D3" s="12">
        <v>14492933.3</v>
      </c>
      <c r="E3" s="16"/>
      <c r="F3" s="16" t="s">
        <v>9</v>
      </c>
      <c r="G3" s="16" t="s">
        <v>10</v>
      </c>
      <c r="H3" s="16" t="s">
        <v>11</v>
      </c>
      <c r="I3" s="16"/>
      <c r="J3" s="16"/>
      <c r="K3" s="16"/>
      <c r="L3" s="16"/>
    </row>
    <row r="4" ht="18" customHeight="1" spans="1:1">
      <c r="A4" s="3" t="s">
        <v>12</v>
      </c>
    </row>
    <row r="5" ht="18" customHeight="1" spans="1:14">
      <c r="A5" s="17" t="s">
        <v>13</v>
      </c>
      <c r="B5" s="17" t="s">
        <v>14</v>
      </c>
      <c r="C5" s="18" t="s">
        <v>15</v>
      </c>
      <c r="D5" s="19"/>
      <c r="E5" s="18" t="s">
        <v>16</v>
      </c>
      <c r="F5" s="19"/>
      <c r="G5" s="17" t="s">
        <v>17</v>
      </c>
      <c r="H5" s="20" t="s">
        <v>18</v>
      </c>
      <c r="I5" s="56"/>
      <c r="J5" s="57"/>
      <c r="K5" s="6" t="s">
        <v>19</v>
      </c>
      <c r="N5" s="7" t="s">
        <v>20</v>
      </c>
    </row>
    <row r="6" ht="18" customHeight="1" spans="1:14">
      <c r="A6" s="21"/>
      <c r="B6" s="21"/>
      <c r="C6" s="22" t="s">
        <v>21</v>
      </c>
      <c r="D6" s="22" t="s">
        <v>22</v>
      </c>
      <c r="E6" s="22" t="s">
        <v>21</v>
      </c>
      <c r="F6" s="22" t="s">
        <v>22</v>
      </c>
      <c r="G6" s="21"/>
      <c r="H6" s="23" t="s">
        <v>23</v>
      </c>
      <c r="I6" s="23" t="s">
        <v>14</v>
      </c>
      <c r="J6" s="23" t="s">
        <v>24</v>
      </c>
      <c r="K6" s="6" t="s">
        <v>25</v>
      </c>
      <c r="N6" s="7" t="s">
        <v>26</v>
      </c>
    </row>
    <row r="7" ht="18" customHeight="1" spans="1:13">
      <c r="A7" s="24">
        <v>42721</v>
      </c>
      <c r="B7" s="12">
        <f t="shared" ref="B7:B16" si="0">G7/(1+C7+E7)</f>
        <v>3266042.11711712</v>
      </c>
      <c r="C7" s="25">
        <v>0.02</v>
      </c>
      <c r="D7" s="26">
        <f t="shared" ref="D7:D16" si="1">G7/(1+E7+C7)*C7</f>
        <v>65320.8423423423</v>
      </c>
      <c r="E7" s="25">
        <v>0.09</v>
      </c>
      <c r="F7" s="12">
        <f t="shared" ref="F7:F16" si="2">G7/(1+C7+E7)*E7</f>
        <v>293943.79054054</v>
      </c>
      <c r="G7" s="27">
        <v>3625306.75</v>
      </c>
      <c r="H7" s="24">
        <v>42626</v>
      </c>
      <c r="I7" s="12">
        <v>500000</v>
      </c>
      <c r="J7" s="58" t="s">
        <v>27</v>
      </c>
      <c r="L7" s="59"/>
      <c r="M7" s="60"/>
    </row>
    <row r="8" ht="18" customHeight="1" spans="1:13">
      <c r="A8" s="24">
        <v>42751</v>
      </c>
      <c r="B8" s="12">
        <f t="shared" si="0"/>
        <v>3883321.78378378</v>
      </c>
      <c r="C8" s="25">
        <v>0.02</v>
      </c>
      <c r="D8" s="26">
        <f t="shared" si="1"/>
        <v>77666.4356756757</v>
      </c>
      <c r="E8" s="25">
        <v>0.09</v>
      </c>
      <c r="F8" s="12">
        <f t="shared" si="2"/>
        <v>349498.96054054</v>
      </c>
      <c r="G8" s="27">
        <v>4310487.18</v>
      </c>
      <c r="H8" s="24">
        <v>42723</v>
      </c>
      <c r="I8" s="12">
        <v>500000</v>
      </c>
      <c r="J8" s="58" t="s">
        <v>27</v>
      </c>
      <c r="L8" s="61"/>
      <c r="M8" s="60"/>
    </row>
    <row r="9" ht="18" customHeight="1" spans="1:13">
      <c r="A9" s="24">
        <v>43315</v>
      </c>
      <c r="B9" s="12">
        <f t="shared" si="0"/>
        <v>1363636.36363636</v>
      </c>
      <c r="C9" s="25">
        <v>0.02</v>
      </c>
      <c r="D9" s="26">
        <f t="shared" si="1"/>
        <v>27272.7272727273</v>
      </c>
      <c r="E9" s="25">
        <v>0.08</v>
      </c>
      <c r="F9" s="12">
        <f t="shared" si="2"/>
        <v>109090.909090909</v>
      </c>
      <c r="G9" s="27">
        <v>1500000</v>
      </c>
      <c r="H9" s="24">
        <v>42732</v>
      </c>
      <c r="I9" s="12">
        <v>2175184.05</v>
      </c>
      <c r="J9" s="58" t="s">
        <v>27</v>
      </c>
      <c r="M9" s="60"/>
    </row>
    <row r="10" ht="18" customHeight="1" spans="1:13">
      <c r="A10" s="24">
        <v>43315</v>
      </c>
      <c r="B10" s="12">
        <f t="shared" si="0"/>
        <v>1916224.51818182</v>
      </c>
      <c r="C10" s="25">
        <v>0.02</v>
      </c>
      <c r="D10" s="26">
        <f t="shared" si="1"/>
        <v>38324.4903636364</v>
      </c>
      <c r="E10" s="25">
        <v>0.08</v>
      </c>
      <c r="F10" s="12">
        <f t="shared" si="2"/>
        <v>153297.961454545</v>
      </c>
      <c r="G10" s="27">
        <v>2107846.97</v>
      </c>
      <c r="H10" s="24">
        <v>42755</v>
      </c>
      <c r="I10" s="12">
        <v>2310487.18</v>
      </c>
      <c r="J10" s="58" t="s">
        <v>27</v>
      </c>
      <c r="M10" s="60"/>
    </row>
    <row r="11" ht="18" customHeight="1" spans="1:13">
      <c r="A11" s="24">
        <v>43315</v>
      </c>
      <c r="B11" s="12">
        <f t="shared" si="0"/>
        <v>1363636.36363636</v>
      </c>
      <c r="C11" s="25">
        <v>0.02</v>
      </c>
      <c r="D11" s="26">
        <f t="shared" si="1"/>
        <v>27272.7272727273</v>
      </c>
      <c r="E11" s="25">
        <v>0.08</v>
      </c>
      <c r="F11" s="12">
        <f t="shared" si="2"/>
        <v>109090.909090909</v>
      </c>
      <c r="G11" s="27">
        <v>1500000</v>
      </c>
      <c r="H11" s="24">
        <v>42755</v>
      </c>
      <c r="I11" s="12">
        <v>2000000</v>
      </c>
      <c r="J11" s="58" t="s">
        <v>27</v>
      </c>
      <c r="M11" s="60"/>
    </row>
    <row r="12" ht="18" customHeight="1" spans="1:13">
      <c r="A12" s="24">
        <v>43322</v>
      </c>
      <c r="B12" s="12">
        <f t="shared" si="0"/>
        <v>1317539.39090909</v>
      </c>
      <c r="C12" s="25">
        <v>0.02</v>
      </c>
      <c r="D12" s="26">
        <f t="shared" si="1"/>
        <v>26350.7878181818</v>
      </c>
      <c r="E12" s="25">
        <v>0.08</v>
      </c>
      <c r="F12" s="12">
        <f t="shared" si="2"/>
        <v>105403.151272727</v>
      </c>
      <c r="G12" s="27">
        <v>1449293.33</v>
      </c>
      <c r="H12" s="24">
        <v>42758</v>
      </c>
      <c r="I12" s="12">
        <v>450122.7</v>
      </c>
      <c r="J12" s="58" t="s">
        <v>27</v>
      </c>
      <c r="M12" s="60"/>
    </row>
    <row r="13" ht="18" customHeight="1" spans="1:13">
      <c r="A13" s="24"/>
      <c r="B13" s="12">
        <f t="shared" si="0"/>
        <v>0</v>
      </c>
      <c r="C13" s="25"/>
      <c r="D13" s="26">
        <f t="shared" si="1"/>
        <v>0</v>
      </c>
      <c r="E13" s="25"/>
      <c r="F13" s="12">
        <f t="shared" si="2"/>
        <v>0</v>
      </c>
      <c r="G13" s="27"/>
      <c r="H13" s="24">
        <v>42760</v>
      </c>
      <c r="I13" s="12">
        <v>1500000</v>
      </c>
      <c r="J13" s="58" t="s">
        <v>27</v>
      </c>
      <c r="M13" s="60"/>
    </row>
    <row r="14" ht="18" customHeight="1" spans="1:13">
      <c r="A14" s="24"/>
      <c r="B14" s="12">
        <f t="shared" si="0"/>
        <v>0</v>
      </c>
      <c r="C14" s="25"/>
      <c r="D14" s="26">
        <f t="shared" si="1"/>
        <v>0</v>
      </c>
      <c r="E14" s="25"/>
      <c r="F14" s="12">
        <f t="shared" si="2"/>
        <v>0</v>
      </c>
      <c r="G14" s="27"/>
      <c r="H14" s="24">
        <v>43340</v>
      </c>
      <c r="I14" s="12">
        <v>607846.04</v>
      </c>
      <c r="J14" s="58" t="s">
        <v>27</v>
      </c>
      <c r="M14" s="60"/>
    </row>
    <row r="15" ht="18" customHeight="1" spans="1:13">
      <c r="A15" s="24"/>
      <c r="B15" s="12">
        <f t="shared" si="0"/>
        <v>0</v>
      </c>
      <c r="C15" s="25"/>
      <c r="D15" s="26">
        <f t="shared" si="1"/>
        <v>0</v>
      </c>
      <c r="E15" s="25"/>
      <c r="F15" s="12">
        <f t="shared" si="2"/>
        <v>0</v>
      </c>
      <c r="G15" s="27"/>
      <c r="H15" s="24">
        <v>43340</v>
      </c>
      <c r="I15" s="12">
        <v>3000000</v>
      </c>
      <c r="J15" s="58" t="s">
        <v>27</v>
      </c>
      <c r="M15" s="60"/>
    </row>
    <row r="16" ht="18" customHeight="1" spans="1:10">
      <c r="A16" s="24"/>
      <c r="B16" s="12">
        <f t="shared" si="0"/>
        <v>0</v>
      </c>
      <c r="C16" s="25"/>
      <c r="D16" s="26">
        <f t="shared" si="1"/>
        <v>0</v>
      </c>
      <c r="E16" s="25"/>
      <c r="F16" s="12">
        <f t="shared" si="2"/>
        <v>0</v>
      </c>
      <c r="G16" s="27"/>
      <c r="H16" s="24"/>
      <c r="I16" s="12"/>
      <c r="J16" s="58"/>
    </row>
    <row r="17" ht="18" customHeight="1" spans="1:12">
      <c r="A17" s="28" t="s">
        <v>28</v>
      </c>
      <c r="B17" s="29">
        <f t="shared" ref="B17:G17" si="3">SUM(B7:B16)</f>
        <v>13110400.5372645</v>
      </c>
      <c r="C17" s="29"/>
      <c r="D17" s="29">
        <f t="shared" si="3"/>
        <v>262208.010745291</v>
      </c>
      <c r="E17" s="29"/>
      <c r="F17" s="30">
        <f t="shared" si="3"/>
        <v>1120325.68199017</v>
      </c>
      <c r="G17" s="29">
        <f t="shared" si="3"/>
        <v>14492934.23</v>
      </c>
      <c r="H17" s="31"/>
      <c r="I17" s="62">
        <f>SUM(I7:I16)</f>
        <v>13043639.97</v>
      </c>
      <c r="J17" s="31"/>
      <c r="L17" s="4"/>
    </row>
    <row r="18" ht="18" customHeight="1" spans="1:12">
      <c r="A18" s="3" t="s">
        <v>29</v>
      </c>
      <c r="B18" s="6"/>
      <c r="J18" s="4"/>
      <c r="K18" s="4"/>
      <c r="L18" s="5"/>
    </row>
    <row r="19" ht="18" customHeight="1" spans="1:15">
      <c r="A19" s="32" t="s">
        <v>23</v>
      </c>
      <c r="B19" s="22" t="s">
        <v>30</v>
      </c>
      <c r="C19" s="22" t="s">
        <v>31</v>
      </c>
      <c r="D19" s="22" t="s">
        <v>32</v>
      </c>
      <c r="E19" s="22" t="s">
        <v>21</v>
      </c>
      <c r="F19" s="22" t="s">
        <v>33</v>
      </c>
      <c r="G19" s="22" t="s">
        <v>17</v>
      </c>
      <c r="H19" s="22" t="s">
        <v>34</v>
      </c>
      <c r="I19" s="22" t="s">
        <v>35</v>
      </c>
      <c r="J19" s="22" t="s">
        <v>24</v>
      </c>
      <c r="K19" s="63" t="s">
        <v>36</v>
      </c>
      <c r="L19" s="23" t="s">
        <v>37</v>
      </c>
      <c r="M19" s="23" t="s">
        <v>38</v>
      </c>
      <c r="N19" s="23" t="s">
        <v>39</v>
      </c>
      <c r="O19" s="23" t="s">
        <v>40</v>
      </c>
    </row>
    <row r="20" s="1" customFormat="1" ht="18" customHeight="1" spans="1:15">
      <c r="A20" s="33">
        <v>42720</v>
      </c>
      <c r="B20" s="34">
        <f t="shared" ref="B20:B26" si="4">ROUND(G20/(1+E20),2)</f>
        <v>2342342.34</v>
      </c>
      <c r="C20" s="35">
        <v>26</v>
      </c>
      <c r="D20" s="36" t="s">
        <v>41</v>
      </c>
      <c r="E20" s="37">
        <v>0.11</v>
      </c>
      <c r="F20" s="34">
        <f t="shared" ref="F20:F26" si="5">ROUND(G20/(1+E20)*E20,2)</f>
        <v>257657.66</v>
      </c>
      <c r="G20" s="27">
        <v>2600000</v>
      </c>
      <c r="H20" s="24">
        <v>42739</v>
      </c>
      <c r="I20" s="12">
        <v>1000000</v>
      </c>
      <c r="J20" s="58" t="s">
        <v>27</v>
      </c>
      <c r="K20" s="64" t="s">
        <v>19</v>
      </c>
      <c r="L20" s="65" t="s">
        <v>42</v>
      </c>
      <c r="M20" s="66" t="s">
        <v>43</v>
      </c>
      <c r="N20" s="66" t="s">
        <v>44</v>
      </c>
      <c r="O20" s="66" t="s">
        <v>45</v>
      </c>
    </row>
    <row r="21" s="2" customFormat="1" ht="18" customHeight="1" spans="1:15">
      <c r="A21" s="38">
        <v>42720</v>
      </c>
      <c r="B21" s="39">
        <f t="shared" si="4"/>
        <v>94391.45</v>
      </c>
      <c r="C21" s="40">
        <v>1</v>
      </c>
      <c r="D21" s="41" t="s">
        <v>41</v>
      </c>
      <c r="E21" s="42">
        <v>0.17</v>
      </c>
      <c r="F21" s="39">
        <f t="shared" si="5"/>
        <v>16046.55</v>
      </c>
      <c r="G21" s="27">
        <v>110438</v>
      </c>
      <c r="H21" s="43">
        <v>42705</v>
      </c>
      <c r="I21" s="26">
        <v>200000</v>
      </c>
      <c r="J21" s="67" t="s">
        <v>46</v>
      </c>
      <c r="K21" s="64" t="s">
        <v>25</v>
      </c>
      <c r="L21" s="68" t="s">
        <v>47</v>
      </c>
      <c r="M21" s="69" t="s">
        <v>44</v>
      </c>
      <c r="N21" s="69" t="s">
        <v>44</v>
      </c>
      <c r="O21" s="69" t="s">
        <v>26</v>
      </c>
    </row>
    <row r="22" s="2" customFormat="1" ht="18" customHeight="1" spans="1:15">
      <c r="A22" s="38"/>
      <c r="B22" s="39"/>
      <c r="C22" s="40"/>
      <c r="D22" s="41"/>
      <c r="E22" s="42"/>
      <c r="F22" s="39"/>
      <c r="G22" s="27"/>
      <c r="H22" s="43" t="s">
        <v>48</v>
      </c>
      <c r="I22" s="26">
        <v>-200000</v>
      </c>
      <c r="J22" s="67" t="s">
        <v>46</v>
      </c>
      <c r="K22" s="64" t="s">
        <v>4</v>
      </c>
      <c r="L22" s="68"/>
      <c r="M22" s="69"/>
      <c r="N22" s="69"/>
      <c r="O22" s="69"/>
    </row>
    <row r="23" s="1" customFormat="1" ht="18" customHeight="1" spans="1:15">
      <c r="A23" s="33">
        <v>42720</v>
      </c>
      <c r="B23" s="34">
        <f t="shared" si="4"/>
        <v>91302.56</v>
      </c>
      <c r="C23" s="35">
        <v>1</v>
      </c>
      <c r="D23" s="36" t="s">
        <v>41</v>
      </c>
      <c r="E23" s="37">
        <v>0.17</v>
      </c>
      <c r="F23" s="34">
        <f t="shared" si="5"/>
        <v>15521.44</v>
      </c>
      <c r="G23" s="27">
        <v>106824</v>
      </c>
      <c r="H23" s="24"/>
      <c r="I23" s="12"/>
      <c r="J23" s="58"/>
      <c r="K23" s="70" t="s">
        <v>25</v>
      </c>
      <c r="L23" s="65" t="s">
        <v>47</v>
      </c>
      <c r="M23" s="66" t="s">
        <v>44</v>
      </c>
      <c r="N23" s="66" t="s">
        <v>44</v>
      </c>
      <c r="O23" s="66" t="s">
        <v>26</v>
      </c>
    </row>
    <row r="24" s="1" customFormat="1" ht="18" customHeight="1" spans="1:15">
      <c r="A24" s="33">
        <v>42724</v>
      </c>
      <c r="B24" s="34">
        <f t="shared" si="4"/>
        <v>2474660</v>
      </c>
      <c r="C24" s="35"/>
      <c r="D24" s="36"/>
      <c r="E24" s="37"/>
      <c r="F24" s="34">
        <f t="shared" si="5"/>
        <v>0</v>
      </c>
      <c r="G24" s="27">
        <v>2474660</v>
      </c>
      <c r="H24" s="24"/>
      <c r="I24" s="12"/>
      <c r="J24" s="58"/>
      <c r="K24" s="70" t="s">
        <v>49</v>
      </c>
      <c r="L24" s="65" t="s">
        <v>50</v>
      </c>
      <c r="M24" s="66"/>
      <c r="N24" s="66"/>
      <c r="O24" s="66" t="s">
        <v>45</v>
      </c>
    </row>
    <row r="25" s="2" customFormat="1" ht="18" customHeight="1" spans="1:15">
      <c r="A25" s="38">
        <v>42730</v>
      </c>
      <c r="B25" s="39">
        <f t="shared" si="4"/>
        <v>454322.05</v>
      </c>
      <c r="C25" s="40">
        <v>1</v>
      </c>
      <c r="D25" s="41" t="s">
        <v>41</v>
      </c>
      <c r="E25" s="42">
        <v>0.17</v>
      </c>
      <c r="F25" s="39">
        <f t="shared" si="5"/>
        <v>77234.75</v>
      </c>
      <c r="G25" s="27">
        <v>531556.8</v>
      </c>
      <c r="H25" s="43">
        <v>42718</v>
      </c>
      <c r="I25" s="26">
        <v>520000</v>
      </c>
      <c r="J25" s="67" t="s">
        <v>46</v>
      </c>
      <c r="K25" s="64" t="s">
        <v>51</v>
      </c>
      <c r="L25" s="68" t="s">
        <v>52</v>
      </c>
      <c r="M25" s="69" t="s">
        <v>44</v>
      </c>
      <c r="N25" s="69" t="s">
        <v>44</v>
      </c>
      <c r="O25" s="69" t="s">
        <v>45</v>
      </c>
    </row>
    <row r="26" s="2" customFormat="1" ht="18" customHeight="1" spans="1:15">
      <c r="A26" s="38">
        <v>42751</v>
      </c>
      <c r="B26" s="39">
        <f t="shared" si="4"/>
        <v>385165.05</v>
      </c>
      <c r="C26" s="40">
        <v>4</v>
      </c>
      <c r="D26" s="41" t="s">
        <v>41</v>
      </c>
      <c r="E26" s="42">
        <v>0.03</v>
      </c>
      <c r="F26" s="39">
        <f t="shared" si="5"/>
        <v>11554.95</v>
      </c>
      <c r="G26" s="27">
        <v>396720</v>
      </c>
      <c r="H26" s="43">
        <v>42705</v>
      </c>
      <c r="I26" s="26">
        <v>150000</v>
      </c>
      <c r="J26" s="67"/>
      <c r="K26" s="64" t="s">
        <v>53</v>
      </c>
      <c r="L26" s="68" t="s">
        <v>54</v>
      </c>
      <c r="M26" s="69" t="s">
        <v>44</v>
      </c>
      <c r="N26" s="69" t="s">
        <v>44</v>
      </c>
      <c r="O26" s="69"/>
    </row>
    <row r="27" s="2" customFormat="1" ht="18" customHeight="1" spans="1:15">
      <c r="A27" s="38"/>
      <c r="B27" s="39"/>
      <c r="C27" s="40"/>
      <c r="D27" s="41"/>
      <c r="E27" s="42"/>
      <c r="F27" s="39"/>
      <c r="G27" s="27"/>
      <c r="H27" s="43" t="s">
        <v>48</v>
      </c>
      <c r="I27" s="26">
        <v>-520000</v>
      </c>
      <c r="J27" s="67" t="s">
        <v>46</v>
      </c>
      <c r="K27" s="64" t="s">
        <v>4</v>
      </c>
      <c r="L27" s="68"/>
      <c r="M27" s="69"/>
      <c r="N27" s="69"/>
      <c r="O27" s="69"/>
    </row>
    <row r="28" s="2" customFormat="1" ht="18" customHeight="1" spans="1:15">
      <c r="A28" s="38"/>
      <c r="B28" s="39"/>
      <c r="C28" s="40"/>
      <c r="D28" s="41"/>
      <c r="E28" s="42"/>
      <c r="F28" s="39"/>
      <c r="G28" s="27"/>
      <c r="H28" s="43" t="s">
        <v>48</v>
      </c>
      <c r="I28" s="26">
        <v>-150000</v>
      </c>
      <c r="J28" s="67" t="s">
        <v>46</v>
      </c>
      <c r="K28" s="64" t="s">
        <v>4</v>
      </c>
      <c r="L28" s="68"/>
      <c r="M28" s="69"/>
      <c r="N28" s="69"/>
      <c r="O28" s="69"/>
    </row>
    <row r="29" s="2" customFormat="1" ht="24" customHeight="1" spans="1:15">
      <c r="A29" s="38">
        <v>42751</v>
      </c>
      <c r="B29" s="39">
        <f t="shared" ref="B29:B34" si="6">ROUND(G29/(1+E29),2)</f>
        <v>270231.62</v>
      </c>
      <c r="C29" s="40">
        <v>3</v>
      </c>
      <c r="D29" s="41" t="s">
        <v>41</v>
      </c>
      <c r="E29" s="42">
        <v>0.17</v>
      </c>
      <c r="F29" s="39">
        <f t="shared" ref="F29:F34" si="7">ROUND(G29/(1+E29)*E29,2)</f>
        <v>45939.38</v>
      </c>
      <c r="G29" s="27">
        <v>316171</v>
      </c>
      <c r="H29" s="45" t="s">
        <v>55</v>
      </c>
      <c r="I29" s="26">
        <v>200000</v>
      </c>
      <c r="J29" s="67" t="s">
        <v>27</v>
      </c>
      <c r="K29" s="64" t="s">
        <v>56</v>
      </c>
      <c r="L29" s="68" t="s">
        <v>57</v>
      </c>
      <c r="M29" s="69" t="s">
        <v>44</v>
      </c>
      <c r="N29" s="69" t="s">
        <v>44</v>
      </c>
      <c r="O29" s="69"/>
    </row>
    <row r="30" s="2" customFormat="1" ht="24" customHeight="1" spans="1:15">
      <c r="A30" s="38"/>
      <c r="B30" s="39"/>
      <c r="C30" s="40"/>
      <c r="D30" s="41"/>
      <c r="E30" s="42"/>
      <c r="F30" s="39"/>
      <c r="G30" s="27"/>
      <c r="H30" s="45" t="s">
        <v>48</v>
      </c>
      <c r="I30" s="26">
        <v>-200000</v>
      </c>
      <c r="J30" s="67" t="s">
        <v>46</v>
      </c>
      <c r="K30" s="64" t="s">
        <v>4</v>
      </c>
      <c r="L30" s="68"/>
      <c r="M30" s="69"/>
      <c r="N30" s="69"/>
      <c r="O30" s="69"/>
    </row>
    <row r="31" s="1" customFormat="1" ht="18" customHeight="1" spans="1:15">
      <c r="A31" s="33">
        <v>42751</v>
      </c>
      <c r="B31" s="34">
        <f t="shared" si="6"/>
        <v>402461.03</v>
      </c>
      <c r="C31" s="35">
        <v>3</v>
      </c>
      <c r="D31" s="36" t="s">
        <v>41</v>
      </c>
      <c r="E31" s="37">
        <v>0.17</v>
      </c>
      <c r="F31" s="34">
        <f t="shared" si="7"/>
        <v>68418.37</v>
      </c>
      <c r="G31" s="27">
        <v>470879.4</v>
      </c>
      <c r="H31" s="24" t="s">
        <v>58</v>
      </c>
      <c r="I31" s="12">
        <f>310000+150000</f>
        <v>460000</v>
      </c>
      <c r="J31" s="58" t="s">
        <v>27</v>
      </c>
      <c r="K31" s="64" t="s">
        <v>51</v>
      </c>
      <c r="L31" s="65" t="s">
        <v>52</v>
      </c>
      <c r="M31" s="66" t="s">
        <v>44</v>
      </c>
      <c r="N31" s="66" t="s">
        <v>44</v>
      </c>
      <c r="O31" s="66"/>
    </row>
    <row r="32" s="1" customFormat="1" ht="18" customHeight="1" spans="1:15">
      <c r="A32" s="33"/>
      <c r="B32" s="34"/>
      <c r="C32" s="35"/>
      <c r="D32" s="36"/>
      <c r="E32" s="37"/>
      <c r="F32" s="34"/>
      <c r="G32" s="27"/>
      <c r="H32" s="24">
        <v>42748</v>
      </c>
      <c r="I32" s="12">
        <v>-150000</v>
      </c>
      <c r="J32" s="58" t="s">
        <v>59</v>
      </c>
      <c r="K32" s="64" t="s">
        <v>51</v>
      </c>
      <c r="L32" s="65"/>
      <c r="M32" s="66"/>
      <c r="N32" s="66"/>
      <c r="O32" s="66"/>
    </row>
    <row r="33" s="1" customFormat="1" ht="18" customHeight="1" spans="1:15">
      <c r="A33" s="33">
        <v>42751</v>
      </c>
      <c r="B33" s="34">
        <f t="shared" si="6"/>
        <v>936186.49</v>
      </c>
      <c r="C33" s="35">
        <v>10</v>
      </c>
      <c r="D33" s="36" t="s">
        <v>41</v>
      </c>
      <c r="E33" s="37">
        <v>0.11</v>
      </c>
      <c r="F33" s="34">
        <f t="shared" si="7"/>
        <v>102980.51</v>
      </c>
      <c r="G33" s="27">
        <v>1039167</v>
      </c>
      <c r="H33" s="24">
        <v>42758</v>
      </c>
      <c r="I33" s="12">
        <v>200000</v>
      </c>
      <c r="J33" s="58" t="s">
        <v>27</v>
      </c>
      <c r="K33" s="64" t="s">
        <v>60</v>
      </c>
      <c r="L33" s="65" t="s">
        <v>61</v>
      </c>
      <c r="M33" s="66"/>
      <c r="N33" s="66"/>
      <c r="O33" s="66"/>
    </row>
    <row r="34" s="1" customFormat="1" ht="18" customHeight="1" spans="1:15">
      <c r="A34" s="33">
        <v>42751</v>
      </c>
      <c r="B34" s="34">
        <f t="shared" si="6"/>
        <v>900900.9</v>
      </c>
      <c r="C34" s="35">
        <v>10</v>
      </c>
      <c r="D34" s="36" t="s">
        <v>41</v>
      </c>
      <c r="E34" s="37">
        <v>0.11</v>
      </c>
      <c r="F34" s="34">
        <f t="shared" si="7"/>
        <v>99099.1</v>
      </c>
      <c r="G34" s="27">
        <v>1000000</v>
      </c>
      <c r="H34" s="24" t="s">
        <v>62</v>
      </c>
      <c r="I34" s="12">
        <f>1000000+400000</f>
        <v>1400000</v>
      </c>
      <c r="J34" s="58" t="s">
        <v>27</v>
      </c>
      <c r="K34" s="64" t="s">
        <v>19</v>
      </c>
      <c r="L34" s="65" t="s">
        <v>42</v>
      </c>
      <c r="M34" s="66" t="s">
        <v>43</v>
      </c>
      <c r="N34" s="66" t="s">
        <v>44</v>
      </c>
      <c r="O34" s="66"/>
    </row>
    <row r="35" s="1" customFormat="1" ht="18" customHeight="1" spans="1:15">
      <c r="A35" s="33"/>
      <c r="B35" s="34"/>
      <c r="C35" s="35"/>
      <c r="D35" s="36"/>
      <c r="E35" s="37"/>
      <c r="F35" s="34"/>
      <c r="G35" s="27"/>
      <c r="H35" s="24">
        <v>42893</v>
      </c>
      <c r="I35" s="12">
        <v>-400000</v>
      </c>
      <c r="J35" s="58" t="s">
        <v>46</v>
      </c>
      <c r="K35" s="64" t="s">
        <v>4</v>
      </c>
      <c r="L35" s="65"/>
      <c r="M35" s="66"/>
      <c r="N35" s="66"/>
      <c r="O35" s="66"/>
    </row>
    <row r="36" s="2" customFormat="1" ht="18" customHeight="1" spans="1:15">
      <c r="A36" s="38"/>
      <c r="B36" s="39"/>
      <c r="C36" s="40"/>
      <c r="D36" s="41"/>
      <c r="E36" s="42"/>
      <c r="F36" s="39"/>
      <c r="G36" s="27"/>
      <c r="H36" s="43">
        <v>43143</v>
      </c>
      <c r="I36" s="26">
        <v>400000</v>
      </c>
      <c r="J36" s="67" t="s">
        <v>27</v>
      </c>
      <c r="K36" s="64" t="s">
        <v>19</v>
      </c>
      <c r="L36" s="68"/>
      <c r="M36" s="69"/>
      <c r="N36" s="69"/>
      <c r="O36" s="69"/>
    </row>
    <row r="37" s="2" customFormat="1" ht="18" customHeight="1" spans="1:15">
      <c r="A37" s="38"/>
      <c r="B37" s="39"/>
      <c r="C37" s="40"/>
      <c r="D37" s="41"/>
      <c r="E37" s="42"/>
      <c r="F37" s="39"/>
      <c r="G37" s="27"/>
      <c r="H37" s="43">
        <v>43143</v>
      </c>
      <c r="I37" s="26">
        <v>-400000</v>
      </c>
      <c r="J37" s="67" t="s">
        <v>46</v>
      </c>
      <c r="K37" s="64" t="s">
        <v>4</v>
      </c>
      <c r="L37" s="68"/>
      <c r="M37" s="69"/>
      <c r="N37" s="69"/>
      <c r="O37" s="69"/>
    </row>
    <row r="38" s="1" customFormat="1" ht="18" customHeight="1" spans="1:15">
      <c r="A38" s="33"/>
      <c r="B38" s="34"/>
      <c r="C38" s="35"/>
      <c r="D38" s="36"/>
      <c r="E38" s="37"/>
      <c r="F38" s="34"/>
      <c r="G38" s="27"/>
      <c r="H38" s="24">
        <v>43237</v>
      </c>
      <c r="I38" s="12">
        <v>210000</v>
      </c>
      <c r="J38" s="58" t="s">
        <v>27</v>
      </c>
      <c r="K38" s="64" t="s">
        <v>19</v>
      </c>
      <c r="L38" s="65"/>
      <c r="M38" s="66"/>
      <c r="N38" s="66"/>
      <c r="O38" s="66"/>
    </row>
    <row r="39" s="1" customFormat="1" ht="18" customHeight="1" spans="1:15">
      <c r="A39" s="33"/>
      <c r="B39" s="34"/>
      <c r="C39" s="35"/>
      <c r="D39" s="36"/>
      <c r="E39" s="37"/>
      <c r="F39" s="34"/>
      <c r="G39" s="27"/>
      <c r="H39" s="24">
        <v>43237</v>
      </c>
      <c r="I39" s="12">
        <f>-(50000*4+10000)</f>
        <v>-210000</v>
      </c>
      <c r="J39" s="58" t="s">
        <v>46</v>
      </c>
      <c r="K39" s="64" t="s">
        <v>4</v>
      </c>
      <c r="L39" s="65"/>
      <c r="M39" s="66"/>
      <c r="N39" s="66"/>
      <c r="O39" s="66"/>
    </row>
    <row r="40" s="1" customFormat="1" ht="18" customHeight="1" spans="1:15">
      <c r="A40" s="33">
        <v>42751</v>
      </c>
      <c r="B40" s="34">
        <f t="shared" ref="B40:B43" si="8">ROUND(G40/(1+E40),2)</f>
        <v>930000</v>
      </c>
      <c r="C40" s="35"/>
      <c r="D40" s="36"/>
      <c r="E40" s="37"/>
      <c r="F40" s="34">
        <f t="shared" ref="F40:F43" si="9">ROUND(G40/(1+E40)*E40,2)</f>
        <v>0</v>
      </c>
      <c r="G40" s="27">
        <v>930000</v>
      </c>
      <c r="H40" s="24"/>
      <c r="I40" s="12"/>
      <c r="J40" s="58"/>
      <c r="K40" s="70" t="s">
        <v>49</v>
      </c>
      <c r="L40" s="65" t="s">
        <v>50</v>
      </c>
      <c r="M40" s="66"/>
      <c r="N40" s="66"/>
      <c r="O40" s="66" t="s">
        <v>45</v>
      </c>
    </row>
    <row r="41" s="1" customFormat="1" ht="18" customHeight="1" spans="1:15">
      <c r="A41" s="33">
        <v>42898</v>
      </c>
      <c r="B41" s="34">
        <f t="shared" si="8"/>
        <v>54551.12</v>
      </c>
      <c r="C41" s="35">
        <v>1</v>
      </c>
      <c r="D41" s="36" t="s">
        <v>41</v>
      </c>
      <c r="E41" s="37">
        <v>0.17</v>
      </c>
      <c r="F41" s="34">
        <f t="shared" si="9"/>
        <v>9273.69</v>
      </c>
      <c r="G41" s="27">
        <v>63824.81</v>
      </c>
      <c r="H41" s="24">
        <v>42758</v>
      </c>
      <c r="I41" s="12">
        <v>93570</v>
      </c>
      <c r="J41" s="58" t="s">
        <v>27</v>
      </c>
      <c r="K41" s="64" t="s">
        <v>63</v>
      </c>
      <c r="L41" s="65" t="s">
        <v>64</v>
      </c>
      <c r="M41" s="66" t="s">
        <v>43</v>
      </c>
      <c r="N41" s="66"/>
      <c r="O41" s="66"/>
    </row>
    <row r="42" s="1" customFormat="1" ht="18" customHeight="1" spans="1:15">
      <c r="A42" s="33"/>
      <c r="B42" s="34">
        <f t="shared" si="8"/>
        <v>0</v>
      </c>
      <c r="C42" s="35"/>
      <c r="D42" s="36"/>
      <c r="E42" s="37"/>
      <c r="F42" s="34">
        <f t="shared" si="9"/>
        <v>0</v>
      </c>
      <c r="G42" s="27"/>
      <c r="H42" s="24">
        <v>42739</v>
      </c>
      <c r="I42" s="12">
        <v>1000000</v>
      </c>
      <c r="J42" s="58" t="s">
        <v>27</v>
      </c>
      <c r="K42" s="64" t="s">
        <v>65</v>
      </c>
      <c r="L42" s="65"/>
      <c r="M42" s="66"/>
      <c r="N42" s="66"/>
      <c r="O42" s="66"/>
    </row>
    <row r="43" s="1" customFormat="1" ht="18" customHeight="1" spans="1:15">
      <c r="A43" s="33">
        <v>43313</v>
      </c>
      <c r="B43" s="34">
        <f t="shared" si="8"/>
        <v>296618.18</v>
      </c>
      <c r="C43" s="35"/>
      <c r="D43" s="36" t="s">
        <v>41</v>
      </c>
      <c r="E43" s="37">
        <v>0.1</v>
      </c>
      <c r="F43" s="34">
        <f t="shared" si="9"/>
        <v>29661.82</v>
      </c>
      <c r="G43" s="27">
        <v>326280</v>
      </c>
      <c r="H43" s="11">
        <v>43320</v>
      </c>
      <c r="I43" s="108">
        <v>326280</v>
      </c>
      <c r="J43" s="58" t="s">
        <v>27</v>
      </c>
      <c r="K43" s="70" t="s">
        <v>66</v>
      </c>
      <c r="L43" s="65"/>
      <c r="M43" s="66"/>
      <c r="N43" s="66"/>
      <c r="O43" s="66"/>
    </row>
    <row r="44" s="1" customFormat="1" ht="18" customHeight="1" spans="1:15">
      <c r="A44" s="33"/>
      <c r="B44" s="34"/>
      <c r="C44" s="35"/>
      <c r="D44" s="36"/>
      <c r="E44" s="37"/>
      <c r="F44" s="34"/>
      <c r="G44" s="27"/>
      <c r="H44" s="11">
        <v>43319</v>
      </c>
      <c r="I44" s="34">
        <f>-(50000*6+26280)</f>
        <v>-326280</v>
      </c>
      <c r="J44" s="58" t="s">
        <v>46</v>
      </c>
      <c r="K44" s="70" t="s">
        <v>4</v>
      </c>
      <c r="L44" s="65"/>
      <c r="M44" s="66"/>
      <c r="N44" s="66"/>
      <c r="O44" s="66"/>
    </row>
    <row r="45" s="1" customFormat="1" ht="18" customHeight="1" spans="1:15">
      <c r="A45" s="33">
        <v>43330</v>
      </c>
      <c r="B45" s="34">
        <f>ROUND(G45/(1+E45),2)</f>
        <v>452586.21</v>
      </c>
      <c r="C45" s="35">
        <v>5</v>
      </c>
      <c r="D45" s="36" t="s">
        <v>41</v>
      </c>
      <c r="E45" s="37">
        <v>0.16</v>
      </c>
      <c r="F45" s="34">
        <f>ROUND(G45/(1+E45)*E45,2)</f>
        <v>72413.79</v>
      </c>
      <c r="G45" s="27">
        <f>105000*5</f>
        <v>525000</v>
      </c>
      <c r="H45" s="102">
        <v>43341</v>
      </c>
      <c r="I45" s="108">
        <v>525000</v>
      </c>
      <c r="J45" s="109" t="s">
        <v>27</v>
      </c>
      <c r="K45" s="70" t="s">
        <v>67</v>
      </c>
      <c r="L45" s="65" t="s">
        <v>47</v>
      </c>
      <c r="M45" s="66"/>
      <c r="N45" s="66"/>
      <c r="O45" s="66"/>
    </row>
    <row r="46" s="1" customFormat="1" ht="18" customHeight="1" spans="1:15">
      <c r="A46" s="33">
        <v>43330</v>
      </c>
      <c r="B46" s="34">
        <f>ROUND(G46/(1+E46),2)</f>
        <v>1011242.72</v>
      </c>
      <c r="C46" s="35">
        <v>11</v>
      </c>
      <c r="D46" s="36" t="s">
        <v>41</v>
      </c>
      <c r="E46" s="37">
        <v>0.03</v>
      </c>
      <c r="F46" s="34">
        <f>ROUND(G46/(1+E46)*E46,2)</f>
        <v>30337.28</v>
      </c>
      <c r="G46" s="27">
        <f>100000*9+82955+58625</f>
        <v>1041580</v>
      </c>
      <c r="H46" s="102">
        <v>43341</v>
      </c>
      <c r="I46" s="108">
        <v>41580</v>
      </c>
      <c r="J46" s="109" t="s">
        <v>27</v>
      </c>
      <c r="K46" s="70" t="s">
        <v>65</v>
      </c>
      <c r="L46" s="65" t="s">
        <v>68</v>
      </c>
      <c r="M46" s="66"/>
      <c r="N46" s="66"/>
      <c r="O46" s="66"/>
    </row>
    <row r="47" s="1" customFormat="1" ht="18" customHeight="1" spans="1:15">
      <c r="A47" s="103">
        <v>43330</v>
      </c>
      <c r="B47" s="12">
        <f>ROUND(G47/(1+E47),2)</f>
        <v>1500000</v>
      </c>
      <c r="C47" s="104"/>
      <c r="D47" s="105" t="s">
        <v>69</v>
      </c>
      <c r="E47" s="25"/>
      <c r="F47" s="12">
        <f>ROUND(G47/(1+E47)*E47,2)</f>
        <v>0</v>
      </c>
      <c r="G47" s="106">
        <f>500000+1000000</f>
        <v>1500000</v>
      </c>
      <c r="H47" s="107">
        <v>43348</v>
      </c>
      <c r="I47" s="108">
        <v>927349.8</v>
      </c>
      <c r="J47" s="110" t="s">
        <v>46</v>
      </c>
      <c r="K47" s="111" t="s">
        <v>4</v>
      </c>
      <c r="L47" s="31" t="s">
        <v>70</v>
      </c>
      <c r="M47" s="66"/>
      <c r="N47" s="66"/>
      <c r="O47" s="66"/>
    </row>
    <row r="48" s="1" customFormat="1" ht="18" customHeight="1" spans="1:15">
      <c r="A48" s="103">
        <v>43330</v>
      </c>
      <c r="B48" s="12">
        <f>ROUND(G48/(1+E48),2)</f>
        <v>150000</v>
      </c>
      <c r="C48" s="104"/>
      <c r="D48" s="105" t="s">
        <v>69</v>
      </c>
      <c r="E48" s="25"/>
      <c r="F48" s="12">
        <f>ROUND(G48/(1+E48)*E48,2)</f>
        <v>0</v>
      </c>
      <c r="G48" s="106">
        <f>98800+51200</f>
        <v>150000</v>
      </c>
      <c r="H48" s="107">
        <v>43430</v>
      </c>
      <c r="I48" s="108">
        <v>722650.2</v>
      </c>
      <c r="J48" s="110" t="s">
        <v>46</v>
      </c>
      <c r="K48" s="111" t="s">
        <v>4</v>
      </c>
      <c r="L48" s="31" t="s">
        <v>71</v>
      </c>
      <c r="M48" s="66"/>
      <c r="N48" s="66"/>
      <c r="O48" s="66"/>
    </row>
    <row r="49" s="1" customFormat="1" ht="18" customHeight="1" spans="1:15">
      <c r="A49" s="103">
        <v>43330</v>
      </c>
      <c r="B49" s="12">
        <f>ROUND(G49/(1+E49),2)</f>
        <v>25642.41</v>
      </c>
      <c r="C49" s="104"/>
      <c r="D49" s="105" t="s">
        <v>41</v>
      </c>
      <c r="E49" s="25">
        <v>0.16</v>
      </c>
      <c r="F49" s="12">
        <f>ROUND(G49/(1+E49)*E49,2)</f>
        <v>4102.78</v>
      </c>
      <c r="G49" s="106">
        <v>29745.19</v>
      </c>
      <c r="H49" s="107"/>
      <c r="I49" s="108"/>
      <c r="J49" s="110"/>
      <c r="K49" s="111" t="s">
        <v>63</v>
      </c>
      <c r="L49" s="31" t="s">
        <v>64</v>
      </c>
      <c r="M49" s="66"/>
      <c r="N49" s="66"/>
      <c r="O49" s="66"/>
    </row>
    <row r="50" s="1" customFormat="1" ht="18" customHeight="1" spans="1:15">
      <c r="A50" s="103">
        <v>43330</v>
      </c>
      <c r="B50" s="12">
        <f>ROUND(G50/(1+E50),2)</f>
        <v>112874.76</v>
      </c>
      <c r="C50" s="104"/>
      <c r="D50" s="105" t="s">
        <v>41</v>
      </c>
      <c r="E50" s="25">
        <v>0.1</v>
      </c>
      <c r="F50" s="12">
        <f>ROUND(G50/(1+E50)*E50,2)</f>
        <v>11287.48</v>
      </c>
      <c r="G50" s="106">
        <v>124162.24</v>
      </c>
      <c r="H50" s="107">
        <v>43348</v>
      </c>
      <c r="I50" s="108">
        <v>181162.24</v>
      </c>
      <c r="J50" s="110" t="s">
        <v>27</v>
      </c>
      <c r="K50" s="111" t="s">
        <v>19</v>
      </c>
      <c r="L50" s="31" t="s">
        <v>42</v>
      </c>
      <c r="M50" s="75"/>
      <c r="N50" s="66"/>
      <c r="O50" s="66"/>
    </row>
    <row r="51" s="1" customFormat="1" ht="18" customHeight="1" spans="1:15">
      <c r="A51" s="33"/>
      <c r="B51" s="34">
        <f t="shared" ref="B51:B60" si="10">ROUND(G51/(1+E51),2)</f>
        <v>0</v>
      </c>
      <c r="C51" s="35"/>
      <c r="D51" s="36"/>
      <c r="E51" s="37"/>
      <c r="F51" s="34">
        <f t="shared" ref="F51:F60" si="11">ROUND(G51/(1+E51)*E51,2)</f>
        <v>0</v>
      </c>
      <c r="G51" s="27"/>
      <c r="H51" s="24">
        <v>43304</v>
      </c>
      <c r="I51" s="108">
        <v>128145</v>
      </c>
      <c r="J51" s="58" t="s">
        <v>27</v>
      </c>
      <c r="K51" s="70" t="s">
        <v>72</v>
      </c>
      <c r="L51" s="65" t="s">
        <v>73</v>
      </c>
      <c r="M51" s="66"/>
      <c r="N51" s="66"/>
      <c r="O51" s="66"/>
    </row>
    <row r="52" s="1" customFormat="1" ht="18" customHeight="1" spans="1:15">
      <c r="A52" s="33"/>
      <c r="B52" s="34">
        <f t="shared" si="10"/>
        <v>0</v>
      </c>
      <c r="C52" s="35"/>
      <c r="D52" s="36"/>
      <c r="E52" s="37"/>
      <c r="F52" s="34">
        <f t="shared" si="11"/>
        <v>0</v>
      </c>
      <c r="G52" s="27"/>
      <c r="H52" s="24">
        <v>43304</v>
      </c>
      <c r="I52" s="12">
        <v>-50000</v>
      </c>
      <c r="J52" s="58" t="s">
        <v>46</v>
      </c>
      <c r="K52" s="70" t="s">
        <v>4</v>
      </c>
      <c r="L52" s="65"/>
      <c r="M52" s="66"/>
      <c r="N52" s="66"/>
      <c r="O52" s="66"/>
    </row>
    <row r="53" s="1" customFormat="1" ht="18" customHeight="1" spans="1:15">
      <c r="A53" s="33"/>
      <c r="B53" s="34">
        <f t="shared" si="10"/>
        <v>0</v>
      </c>
      <c r="C53" s="35"/>
      <c r="D53" s="36"/>
      <c r="E53" s="37"/>
      <c r="F53" s="34">
        <f t="shared" si="11"/>
        <v>0</v>
      </c>
      <c r="G53" s="27"/>
      <c r="H53" s="24">
        <v>43304</v>
      </c>
      <c r="I53" s="12">
        <v>-50000</v>
      </c>
      <c r="J53" s="58" t="s">
        <v>46</v>
      </c>
      <c r="K53" s="70" t="s">
        <v>4</v>
      </c>
      <c r="L53" s="65"/>
      <c r="M53" s="66"/>
      <c r="N53" s="66"/>
      <c r="O53" s="66"/>
    </row>
    <row r="54" s="1" customFormat="1" ht="18" customHeight="1" spans="1:15">
      <c r="A54" s="33"/>
      <c r="B54" s="34">
        <f t="shared" si="10"/>
        <v>0</v>
      </c>
      <c r="C54" s="35"/>
      <c r="D54" s="36"/>
      <c r="E54" s="37"/>
      <c r="F54" s="34">
        <f t="shared" si="11"/>
        <v>0</v>
      </c>
      <c r="G54" s="27"/>
      <c r="H54" s="24">
        <v>43304</v>
      </c>
      <c r="I54" s="12">
        <v>-28145</v>
      </c>
      <c r="J54" s="58" t="s">
        <v>46</v>
      </c>
      <c r="K54" s="70" t="s">
        <v>4</v>
      </c>
      <c r="L54" s="65"/>
      <c r="M54" s="66"/>
      <c r="N54" s="66"/>
      <c r="O54" s="66"/>
    </row>
    <row r="55" s="1" customFormat="1" ht="18" customHeight="1" spans="1:15">
      <c r="A55" s="33"/>
      <c r="B55" s="34">
        <f>ROUND(G55/(1+E55),2)</f>
        <v>0</v>
      </c>
      <c r="C55" s="35"/>
      <c r="D55" s="36"/>
      <c r="E55" s="37"/>
      <c r="F55" s="34">
        <f>ROUND(G55/(1+E55)*E55,2)</f>
        <v>0</v>
      </c>
      <c r="G55" s="27"/>
      <c r="H55" s="24" t="s">
        <v>74</v>
      </c>
      <c r="I55" s="108">
        <v>320000</v>
      </c>
      <c r="J55" s="58" t="s">
        <v>46</v>
      </c>
      <c r="K55" s="64" t="s">
        <v>4</v>
      </c>
      <c r="L55" s="65"/>
      <c r="M55" s="66"/>
      <c r="N55" s="66"/>
      <c r="O55" s="66"/>
    </row>
    <row r="56" s="1" customFormat="1" ht="18" customHeight="1" spans="1:15">
      <c r="A56" s="33"/>
      <c r="B56" s="34">
        <f>ROUND(G56/(1+E56),2)</f>
        <v>0</v>
      </c>
      <c r="C56" s="35"/>
      <c r="D56" s="36"/>
      <c r="E56" s="37"/>
      <c r="F56" s="34">
        <f>ROUND(G56/(1+E56)*E56,2)</f>
        <v>0</v>
      </c>
      <c r="G56" s="27"/>
      <c r="H56" s="24">
        <v>42739</v>
      </c>
      <c r="I56" s="108">
        <v>184874.42</v>
      </c>
      <c r="J56" s="58" t="s">
        <v>46</v>
      </c>
      <c r="K56" s="64" t="s">
        <v>4</v>
      </c>
      <c r="L56" s="65"/>
      <c r="M56" s="66"/>
      <c r="N56" s="66"/>
      <c r="O56" s="66"/>
    </row>
    <row r="57" s="1" customFormat="1" ht="18" customHeight="1" spans="1:15">
      <c r="A57" s="33"/>
      <c r="B57" s="34">
        <f>ROUND(G57/(1+E57),2)</f>
        <v>0</v>
      </c>
      <c r="C57" s="35"/>
      <c r="D57" s="36"/>
      <c r="E57" s="37"/>
      <c r="F57" s="34">
        <f>ROUND(G57/(1+E57)*E57,2)</f>
        <v>0</v>
      </c>
      <c r="G57" s="27"/>
      <c r="H57" s="24">
        <v>42758</v>
      </c>
      <c r="I57" s="108">
        <v>3014587.19</v>
      </c>
      <c r="J57" s="58" t="s">
        <v>46</v>
      </c>
      <c r="K57" s="64" t="s">
        <v>4</v>
      </c>
      <c r="L57" s="65"/>
      <c r="M57" s="66"/>
      <c r="N57" s="66"/>
      <c r="O57" s="66"/>
    </row>
    <row r="58" s="1" customFormat="1" ht="18" customHeight="1" spans="1:15">
      <c r="A58" s="33"/>
      <c r="B58" s="34">
        <f>ROUND(G58/(1+E58),2)</f>
        <v>0</v>
      </c>
      <c r="C58" s="35"/>
      <c r="D58" s="36"/>
      <c r="E58" s="37"/>
      <c r="F58" s="34">
        <f>ROUND(G58/(1+E58)*E58,2)</f>
        <v>0</v>
      </c>
      <c r="G58" s="27"/>
      <c r="H58" s="24">
        <v>42761</v>
      </c>
      <c r="I58" s="12">
        <v>1950122.7</v>
      </c>
      <c r="J58" s="58" t="s">
        <v>46</v>
      </c>
      <c r="K58" s="64" t="s">
        <v>4</v>
      </c>
      <c r="L58" s="65"/>
      <c r="M58" s="66"/>
      <c r="N58" s="66"/>
      <c r="O58" s="66"/>
    </row>
    <row r="59" s="1" customFormat="1" ht="18" customHeight="1" spans="1:15">
      <c r="A59" s="33"/>
      <c r="B59" s="34"/>
      <c r="C59" s="35"/>
      <c r="D59" s="36"/>
      <c r="E59" s="37"/>
      <c r="F59" s="34"/>
      <c r="G59" s="27"/>
      <c r="H59" s="24">
        <v>43103</v>
      </c>
      <c r="I59" s="108">
        <v>254370.13</v>
      </c>
      <c r="J59" s="58" t="s">
        <v>46</v>
      </c>
      <c r="K59" s="64" t="s">
        <v>75</v>
      </c>
      <c r="L59" s="65"/>
      <c r="M59" s="66"/>
      <c r="N59" s="66"/>
      <c r="O59" s="66"/>
    </row>
    <row r="60" s="1" customFormat="1" ht="18" customHeight="1" spans="1:15">
      <c r="A60" s="33"/>
      <c r="B60" s="34"/>
      <c r="C60" s="35"/>
      <c r="D60" s="36"/>
      <c r="E60" s="37"/>
      <c r="F60" s="34"/>
      <c r="G60" s="27"/>
      <c r="H60" s="24"/>
      <c r="I60" s="12"/>
      <c r="J60" s="58"/>
      <c r="K60" s="64"/>
      <c r="L60" s="65"/>
      <c r="M60" s="66"/>
      <c r="N60" s="66"/>
      <c r="O60" s="66"/>
    </row>
    <row r="61" s="1" customFormat="1" ht="18" customHeight="1" spans="1:15">
      <c r="A61" s="33"/>
      <c r="B61" s="34"/>
      <c r="C61" s="35"/>
      <c r="D61" s="36"/>
      <c r="E61" s="37"/>
      <c r="F61" s="34"/>
      <c r="G61" s="27"/>
      <c r="H61" s="24"/>
      <c r="I61" s="12"/>
      <c r="J61" s="58"/>
      <c r="K61" s="64"/>
      <c r="L61" s="65"/>
      <c r="M61" s="66"/>
      <c r="N61" s="66"/>
      <c r="O61" s="66"/>
    </row>
    <row r="62" s="1" customFormat="1" ht="18" customHeight="1" spans="1:15">
      <c r="A62" s="33"/>
      <c r="B62" s="34"/>
      <c r="C62" s="35"/>
      <c r="D62" s="36"/>
      <c r="E62" s="37"/>
      <c r="F62" s="34"/>
      <c r="G62" s="27"/>
      <c r="H62" s="24"/>
      <c r="I62" s="12"/>
      <c r="J62" s="58"/>
      <c r="K62" s="64"/>
      <c r="L62" s="65"/>
      <c r="M62" s="66"/>
      <c r="N62" s="66"/>
      <c r="O62" s="66"/>
    </row>
    <row r="63" s="1" customFormat="1" ht="18" customHeight="1" spans="1:15">
      <c r="A63" s="33"/>
      <c r="B63" s="34"/>
      <c r="C63" s="35"/>
      <c r="D63" s="36"/>
      <c r="E63" s="37"/>
      <c r="F63" s="34"/>
      <c r="G63" s="27"/>
      <c r="H63" s="24"/>
      <c r="I63" s="12"/>
      <c r="J63" s="58"/>
      <c r="K63" s="64"/>
      <c r="L63" s="65"/>
      <c r="M63" s="66"/>
      <c r="N63" s="66"/>
      <c r="O63" s="66"/>
    </row>
    <row r="64" s="1" customFormat="1" ht="18" customHeight="1" spans="1:15">
      <c r="A64" s="33"/>
      <c r="B64" s="34">
        <f>ROUND(G64/(1+E64),2)</f>
        <v>0</v>
      </c>
      <c r="C64" s="35"/>
      <c r="D64" s="36"/>
      <c r="E64" s="37"/>
      <c r="F64" s="34">
        <f>ROUND(G64/(1+E64)*E64,2)</f>
        <v>0</v>
      </c>
      <c r="G64" s="27"/>
      <c r="H64" s="24"/>
      <c r="I64" s="12"/>
      <c r="J64" s="58"/>
      <c r="K64" s="64"/>
      <c r="L64" s="65"/>
      <c r="M64" s="66"/>
      <c r="N64" s="66"/>
      <c r="O64" s="66"/>
    </row>
    <row r="65" s="1" customFormat="1" ht="18" customHeight="1" spans="1:15">
      <c r="A65" s="33"/>
      <c r="B65" s="34"/>
      <c r="C65" s="35"/>
      <c r="D65" s="36"/>
      <c r="E65" s="37"/>
      <c r="F65" s="34"/>
      <c r="G65" s="27"/>
      <c r="H65" s="24"/>
      <c r="I65" s="108">
        <v>-722650.2</v>
      </c>
      <c r="J65" s="58" t="s">
        <v>76</v>
      </c>
      <c r="K65" s="64" t="s">
        <v>77</v>
      </c>
      <c r="L65" s="65"/>
      <c r="M65" s="66"/>
      <c r="N65" s="66"/>
      <c r="O65" s="66"/>
    </row>
    <row r="66" s="1" customFormat="1" ht="18" customHeight="1" spans="1:15">
      <c r="A66" s="33"/>
      <c r="B66" s="34">
        <f t="shared" ref="B66:B71" si="12">ROUND(G66/(1+E66),2)</f>
        <v>0</v>
      </c>
      <c r="C66" s="35"/>
      <c r="D66" s="36"/>
      <c r="E66" s="37"/>
      <c r="F66" s="34">
        <f t="shared" ref="F66:F71" si="13">ROUND(G66/(1+E66)*E66,2)</f>
        <v>0</v>
      </c>
      <c r="G66" s="27"/>
      <c r="H66" s="24"/>
      <c r="I66" s="108">
        <v>36078</v>
      </c>
      <c r="J66" s="110" t="s">
        <v>78</v>
      </c>
      <c r="K66" s="113" t="s">
        <v>79</v>
      </c>
      <c r="L66" s="65"/>
      <c r="M66" s="66"/>
      <c r="N66" s="66"/>
      <c r="O66" s="66"/>
    </row>
    <row r="67" s="1" customFormat="1" ht="18" customHeight="1" spans="1:15">
      <c r="A67" s="33"/>
      <c r="B67" s="34">
        <f t="shared" si="12"/>
        <v>0</v>
      </c>
      <c r="C67" s="35"/>
      <c r="D67" s="36"/>
      <c r="E67" s="37"/>
      <c r="F67" s="34">
        <f t="shared" si="13"/>
        <v>0</v>
      </c>
      <c r="G67" s="27"/>
      <c r="H67" s="24"/>
      <c r="I67" s="108">
        <v>1600000</v>
      </c>
      <c r="J67" s="110" t="s">
        <v>80</v>
      </c>
      <c r="K67" s="113" t="s">
        <v>81</v>
      </c>
      <c r="L67" s="65"/>
      <c r="M67" s="66"/>
      <c r="N67" s="66"/>
      <c r="O67" s="66"/>
    </row>
    <row r="68" s="1" customFormat="1" ht="18" customHeight="1" spans="1:15">
      <c r="A68" s="33"/>
      <c r="B68" s="34"/>
      <c r="C68" s="35"/>
      <c r="D68" s="36"/>
      <c r="E68" s="37"/>
      <c r="F68" s="34"/>
      <c r="G68" s="27"/>
      <c r="H68" s="24"/>
      <c r="I68" s="108">
        <v>295676</v>
      </c>
      <c r="J68" s="110" t="s">
        <v>80</v>
      </c>
      <c r="K68" s="113" t="s">
        <v>82</v>
      </c>
      <c r="L68" s="65"/>
      <c r="M68" s="66"/>
      <c r="N68" s="66"/>
      <c r="O68" s="66"/>
    </row>
    <row r="69" s="1" customFormat="1" ht="18" customHeight="1" spans="1:15">
      <c r="A69" s="33"/>
      <c r="B69" s="34">
        <f t="shared" si="12"/>
        <v>0</v>
      </c>
      <c r="C69" s="35"/>
      <c r="D69" s="36"/>
      <c r="E69" s="37"/>
      <c r="F69" s="34">
        <f t="shared" si="13"/>
        <v>0</v>
      </c>
      <c r="G69" s="27"/>
      <c r="H69" s="24"/>
      <c r="I69" s="108">
        <f>1959.63+2329.99+13403.69</f>
        <v>17693.31</v>
      </c>
      <c r="J69" s="110" t="s">
        <v>80</v>
      </c>
      <c r="K69" s="113" t="s">
        <v>83</v>
      </c>
      <c r="L69" s="65"/>
      <c r="M69" s="66"/>
      <c r="N69" s="66"/>
      <c r="O69" s="66"/>
    </row>
    <row r="70" s="1" customFormat="1" ht="18" customHeight="1" spans="1:15">
      <c r="A70" s="33"/>
      <c r="B70" s="34">
        <f t="shared" si="12"/>
        <v>0</v>
      </c>
      <c r="C70" s="35"/>
      <c r="D70" s="36"/>
      <c r="E70" s="37"/>
      <c r="F70" s="34">
        <f t="shared" si="13"/>
        <v>0</v>
      </c>
      <c r="G70" s="27"/>
      <c r="H70" s="24"/>
      <c r="I70" s="108">
        <f>650+300+1000</f>
        <v>1950</v>
      </c>
      <c r="J70" s="58" t="s">
        <v>80</v>
      </c>
      <c r="K70" s="64" t="s">
        <v>84</v>
      </c>
      <c r="L70" s="65"/>
      <c r="M70" s="66"/>
      <c r="N70" s="66"/>
      <c r="O70" s="66"/>
    </row>
    <row r="71" s="1" customFormat="1" ht="18" customHeight="1" spans="1:15">
      <c r="A71" s="33"/>
      <c r="B71" s="34">
        <f t="shared" si="12"/>
        <v>89626.18</v>
      </c>
      <c r="C71" s="35"/>
      <c r="D71" s="36"/>
      <c r="E71" s="37"/>
      <c r="F71" s="34">
        <f t="shared" si="13"/>
        <v>0</v>
      </c>
      <c r="G71" s="27">
        <f>357700-268073.82</f>
        <v>89626.18</v>
      </c>
      <c r="H71" s="24"/>
      <c r="I71" s="12">
        <f>G71</f>
        <v>89626.18</v>
      </c>
      <c r="J71" s="58" t="s">
        <v>80</v>
      </c>
      <c r="K71" s="64" t="s">
        <v>85</v>
      </c>
      <c r="L71" s="65"/>
      <c r="M71" s="66"/>
      <c r="N71" s="66"/>
      <c r="O71" s="66"/>
    </row>
    <row r="72" ht="18" customHeight="1" spans="1:15">
      <c r="A72" s="29" t="s">
        <v>28</v>
      </c>
      <c r="B72" s="29">
        <f>SUM(B20:B71)</f>
        <v>12975105.07</v>
      </c>
      <c r="C72" s="29"/>
      <c r="D72" s="78"/>
      <c r="E72" s="78"/>
      <c r="F72" s="30">
        <f>SUM(F20:F71)</f>
        <v>851529.55</v>
      </c>
      <c r="G72" s="29">
        <f>SUM(G20:G71)</f>
        <v>13826634.62</v>
      </c>
      <c r="H72" s="31"/>
      <c r="I72" s="29">
        <f>SUM(I20:I71)</f>
        <v>13043639.97</v>
      </c>
      <c r="J72" s="31"/>
      <c r="K72" s="98"/>
      <c r="L72" s="31"/>
      <c r="M72" s="58"/>
      <c r="N72" s="58"/>
      <c r="O72" s="58"/>
    </row>
    <row r="73" ht="18" customHeight="1" spans="1:15">
      <c r="A73" s="79"/>
      <c r="B73" s="79"/>
      <c r="C73" s="79"/>
      <c r="D73" s="80"/>
      <c r="E73" s="80"/>
      <c r="F73" s="81"/>
      <c r="G73" s="79"/>
      <c r="H73" s="112" t="s">
        <v>86</v>
      </c>
      <c r="I73" s="29">
        <f>I17-I72</f>
        <v>0</v>
      </c>
      <c r="J73" s="82"/>
      <c r="K73" s="99"/>
      <c r="L73" s="82"/>
      <c r="M73" s="100"/>
      <c r="N73" s="100"/>
      <c r="O73" s="100"/>
    </row>
    <row r="74" ht="18" customHeight="1" spans="1:9">
      <c r="A74" s="83" t="s">
        <v>87</v>
      </c>
      <c r="B74" s="4">
        <f>B17-B72</f>
        <v>135295.467264535</v>
      </c>
      <c r="C74" s="3"/>
      <c r="F74" s="84"/>
      <c r="G74" s="84"/>
      <c r="I74" s="101">
        <f>I69+I68</f>
        <v>313369.31</v>
      </c>
    </row>
    <row r="75" ht="18" customHeight="1" spans="1:10">
      <c r="A75" s="32" t="s">
        <v>88</v>
      </c>
      <c r="B75" s="23" t="s">
        <v>89</v>
      </c>
      <c r="C75" s="22" t="s">
        <v>21</v>
      </c>
      <c r="D75" s="22" t="s">
        <v>90</v>
      </c>
      <c r="E75" s="85"/>
      <c r="F75" s="86" t="s">
        <v>91</v>
      </c>
      <c r="G75" s="86" t="s">
        <v>92</v>
      </c>
      <c r="H75" s="22" t="s">
        <v>93</v>
      </c>
      <c r="I75" s="4">
        <f>I70+I66</f>
        <v>38028</v>
      </c>
      <c r="J75" s="94"/>
    </row>
    <row r="76" ht="18" customHeight="1" spans="1:9">
      <c r="A76" s="10" t="s">
        <v>94</v>
      </c>
      <c r="B76" s="31"/>
      <c r="C76" s="58" t="s">
        <v>95</v>
      </c>
      <c r="D76" s="87">
        <f>F17-F72</f>
        <v>268796.131990172</v>
      </c>
      <c r="E76" s="88"/>
      <c r="F76" s="89">
        <v>0</v>
      </c>
      <c r="G76" s="89">
        <v>0</v>
      </c>
      <c r="H76" s="89">
        <v>268796.13</v>
      </c>
      <c r="I76" s="94"/>
    </row>
    <row r="77" ht="18" customHeight="1" spans="1:9">
      <c r="A77" s="31" t="s">
        <v>96</v>
      </c>
      <c r="B77" s="10" t="s">
        <v>97</v>
      </c>
      <c r="C77" s="13">
        <v>0.05</v>
      </c>
      <c r="D77" s="89">
        <f>D76*C77</f>
        <v>13439.8065995086</v>
      </c>
      <c r="E77" s="88"/>
      <c r="F77" s="89">
        <v>0</v>
      </c>
      <c r="G77" s="89">
        <v>0</v>
      </c>
      <c r="H77" s="89">
        <f>H76*C77</f>
        <v>13439.8065</v>
      </c>
      <c r="I77" s="94"/>
    </row>
    <row r="78" ht="18" customHeight="1" spans="1:9">
      <c r="A78" s="31"/>
      <c r="B78" s="10" t="s">
        <v>98</v>
      </c>
      <c r="C78" s="13">
        <v>0.03</v>
      </c>
      <c r="D78" s="89">
        <f>D76*C78</f>
        <v>8063.88395970516</v>
      </c>
      <c r="E78" s="88"/>
      <c r="F78" s="89">
        <v>0</v>
      </c>
      <c r="G78" s="89">
        <v>0</v>
      </c>
      <c r="H78" s="89">
        <f>H76*C78</f>
        <v>8063.8839</v>
      </c>
      <c r="I78" s="94"/>
    </row>
    <row r="79" ht="18" customHeight="1" spans="1:9">
      <c r="A79" s="31"/>
      <c r="B79" s="10" t="s">
        <v>99</v>
      </c>
      <c r="C79" s="13">
        <v>0.02</v>
      </c>
      <c r="D79" s="89">
        <f>D76*C79</f>
        <v>5375.92263980344</v>
      </c>
      <c r="E79" s="88"/>
      <c r="F79" s="89">
        <v>0</v>
      </c>
      <c r="G79" s="89">
        <v>0</v>
      </c>
      <c r="H79" s="89">
        <f>H76*C79</f>
        <v>5375.9226</v>
      </c>
      <c r="I79" s="94"/>
    </row>
    <row r="80" ht="18" customHeight="1" spans="1:9">
      <c r="A80" s="90" t="s">
        <v>100</v>
      </c>
      <c r="B80" s="30"/>
      <c r="C80" s="90"/>
      <c r="D80" s="91">
        <f t="shared" ref="D80:H80" si="14">SUM(D76:D79)</f>
        <v>295675.745189189</v>
      </c>
      <c r="E80" s="92"/>
      <c r="F80" s="91">
        <f t="shared" si="14"/>
        <v>0</v>
      </c>
      <c r="G80" s="91">
        <f t="shared" si="14"/>
        <v>0</v>
      </c>
      <c r="H80" s="91">
        <f t="shared" si="14"/>
        <v>295675.743</v>
      </c>
      <c r="I80" s="94"/>
    </row>
    <row r="81" ht="21.95" customHeight="1" spans="2:9">
      <c r="B81" s="12" t="s">
        <v>101</v>
      </c>
      <c r="C81" s="93">
        <v>0.0006</v>
      </c>
      <c r="D81" s="89">
        <f>(B7+B8)*C81</f>
        <v>4289.61834054054</v>
      </c>
      <c r="E81" s="94"/>
      <c r="F81" s="89">
        <f>B7*0.0006</f>
        <v>1959.62527027027</v>
      </c>
      <c r="G81" s="89">
        <f>B8*0.0006</f>
        <v>2329.99307027027</v>
      </c>
      <c r="H81" s="89">
        <v>0</v>
      </c>
      <c r="I81" s="94"/>
    </row>
    <row r="82" ht="21.95" customHeight="1" spans="2:9">
      <c r="B82" s="95" t="s">
        <v>28</v>
      </c>
      <c r="C82" s="96"/>
      <c r="D82" s="97">
        <f t="shared" ref="D82:H82" si="15">D81+D80</f>
        <v>299965.36352973</v>
      </c>
      <c r="E82" s="94"/>
      <c r="F82" s="91">
        <f t="shared" si="15"/>
        <v>1959.62527027027</v>
      </c>
      <c r="G82" s="91">
        <f t="shared" si="15"/>
        <v>2329.99307027027</v>
      </c>
      <c r="H82" s="91">
        <f t="shared" si="15"/>
        <v>295675.743</v>
      </c>
      <c r="I82" s="94"/>
    </row>
    <row r="83" ht="21.95" customHeight="1" spans="3:7">
      <c r="C83" s="3"/>
      <c r="F83" s="84"/>
      <c r="G83" s="84"/>
    </row>
    <row r="84" ht="21.95" customHeight="1" spans="3:7">
      <c r="C84" s="3"/>
      <c r="F84" s="84"/>
      <c r="G84" s="84"/>
    </row>
    <row r="85" ht="21.95" customHeight="1" spans="3:7">
      <c r="C85" s="3"/>
      <c r="F85" s="84"/>
      <c r="G85" s="84"/>
    </row>
    <row r="86" spans="3:7">
      <c r="C86" s="3"/>
      <c r="F86" s="84"/>
      <c r="G86" s="84"/>
    </row>
    <row r="87" spans="3:7">
      <c r="C87" s="3"/>
      <c r="F87" s="84"/>
      <c r="G87" s="84"/>
    </row>
    <row r="88" spans="3:7">
      <c r="C88" s="3"/>
      <c r="F88" s="84"/>
      <c r="G88" s="84"/>
    </row>
    <row r="89" spans="3:7">
      <c r="C89" s="3"/>
      <c r="F89" s="84"/>
      <c r="G89" s="84"/>
    </row>
    <row r="90" spans="3:7">
      <c r="C90" s="3"/>
      <c r="F90" s="84"/>
      <c r="G90" s="84"/>
    </row>
    <row r="91" spans="3:7">
      <c r="C91" s="3"/>
      <c r="F91" s="84"/>
      <c r="G91" s="84"/>
    </row>
    <row r="92" spans="3:7">
      <c r="C92" s="3"/>
      <c r="F92" s="84"/>
      <c r="G92" s="84"/>
    </row>
    <row r="93" spans="3:7">
      <c r="C93" s="3"/>
      <c r="F93" s="84"/>
      <c r="G93" s="84"/>
    </row>
    <row r="94" spans="3:7">
      <c r="C94" s="3"/>
      <c r="F94" s="84"/>
      <c r="G94" s="84"/>
    </row>
    <row r="95" spans="3:7">
      <c r="C95" s="3"/>
      <c r="F95" s="84"/>
      <c r="G95" s="84"/>
    </row>
    <row r="96" spans="3:7">
      <c r="C96" s="3"/>
      <c r="F96" s="84"/>
      <c r="G96" s="84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</sheetData>
  <autoFilter ref="A19:O82">
    <extLst/>
  </autoFilter>
  <mergeCells count="8">
    <mergeCell ref="A1:L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scale="7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"/>
  <sheetViews>
    <sheetView topLeftCell="A43" workbookViewId="0">
      <selection activeCell="K66" sqref="K66"/>
    </sheetView>
  </sheetViews>
  <sheetFormatPr defaultColWidth="9" defaultRowHeight="11.25"/>
  <cols>
    <col min="1" max="1" width="11.25" style="3" customWidth="1"/>
    <col min="2" max="2" width="15" style="4" customWidth="1"/>
    <col min="3" max="3" width="5.5" style="4" customWidth="1"/>
    <col min="4" max="4" width="12.875" style="4" customWidth="1"/>
    <col min="5" max="5" width="6.625" style="4" customWidth="1"/>
    <col min="6" max="6" width="13.625" style="4" customWidth="1"/>
    <col min="7" max="7" width="14.125" style="4" customWidth="1"/>
    <col min="8" max="8" width="15" style="4" customWidth="1"/>
    <col min="9" max="9" width="13.125" style="4" customWidth="1"/>
    <col min="10" max="10" width="10.625" style="5" customWidth="1"/>
    <col min="11" max="11" width="28" style="6" customWidth="1"/>
    <col min="12" max="12" width="10.625" style="6" customWidth="1"/>
    <col min="13" max="13" width="10.625" style="7" customWidth="1"/>
    <col min="14" max="14" width="9" style="7"/>
    <col min="15" max="16384" width="9" style="6"/>
  </cols>
  <sheetData>
    <row r="1" ht="21.9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54"/>
      <c r="L1" s="54"/>
    </row>
    <row r="2" ht="18" customHeight="1" spans="1:12">
      <c r="A2" s="10" t="s">
        <v>1</v>
      </c>
      <c r="B2" s="11">
        <v>42555</v>
      </c>
      <c r="C2" s="12" t="s">
        <v>2</v>
      </c>
      <c r="D2" s="12">
        <v>11923333.02</v>
      </c>
      <c r="E2" s="13" t="s">
        <v>3</v>
      </c>
      <c r="F2" s="12" t="s">
        <v>4</v>
      </c>
      <c r="G2" s="13" t="s">
        <v>5</v>
      </c>
      <c r="H2" s="14" t="s">
        <v>6</v>
      </c>
      <c r="I2" s="14"/>
      <c r="J2" s="14"/>
      <c r="K2" s="55"/>
      <c r="L2" s="55"/>
    </row>
    <row r="3" ht="18" customHeight="1" spans="1:12">
      <c r="A3" s="10" t="s">
        <v>7</v>
      </c>
      <c r="B3" s="15"/>
      <c r="C3" s="12" t="s">
        <v>8</v>
      </c>
      <c r="D3" s="12"/>
      <c r="E3" s="16"/>
      <c r="F3" s="16" t="s">
        <v>9</v>
      </c>
      <c r="G3" s="16" t="s">
        <v>10</v>
      </c>
      <c r="H3" s="16" t="s">
        <v>11</v>
      </c>
      <c r="I3" s="16"/>
      <c r="J3" s="16"/>
      <c r="K3" s="16"/>
      <c r="L3" s="16"/>
    </row>
    <row r="4" ht="18" customHeight="1" spans="1:1">
      <c r="A4" s="3" t="s">
        <v>12</v>
      </c>
    </row>
    <row r="5" ht="18" customHeight="1" spans="1:14">
      <c r="A5" s="17" t="s">
        <v>13</v>
      </c>
      <c r="B5" s="17" t="s">
        <v>14</v>
      </c>
      <c r="C5" s="18" t="s">
        <v>15</v>
      </c>
      <c r="D5" s="19"/>
      <c r="E5" s="18" t="s">
        <v>16</v>
      </c>
      <c r="F5" s="19"/>
      <c r="G5" s="17" t="s">
        <v>17</v>
      </c>
      <c r="H5" s="20" t="s">
        <v>18</v>
      </c>
      <c r="I5" s="56"/>
      <c r="J5" s="57"/>
      <c r="K5" s="6" t="s">
        <v>19</v>
      </c>
      <c r="N5" s="7" t="s">
        <v>20</v>
      </c>
    </row>
    <row r="6" ht="18" customHeight="1" spans="1:14">
      <c r="A6" s="21"/>
      <c r="B6" s="21"/>
      <c r="C6" s="22" t="s">
        <v>21</v>
      </c>
      <c r="D6" s="22" t="s">
        <v>22</v>
      </c>
      <c r="E6" s="22" t="s">
        <v>21</v>
      </c>
      <c r="F6" s="22" t="s">
        <v>22</v>
      </c>
      <c r="G6" s="21"/>
      <c r="H6" s="23" t="s">
        <v>23</v>
      </c>
      <c r="I6" s="23" t="s">
        <v>14</v>
      </c>
      <c r="J6" s="23" t="s">
        <v>24</v>
      </c>
      <c r="K6" s="6" t="s">
        <v>25</v>
      </c>
      <c r="N6" s="7" t="s">
        <v>26</v>
      </c>
    </row>
    <row r="7" ht="18" customHeight="1" spans="1:13">
      <c r="A7" s="24">
        <v>42721</v>
      </c>
      <c r="B7" s="12">
        <f>G7/(1+C7+E7)</f>
        <v>3266042.11711712</v>
      </c>
      <c r="C7" s="25">
        <v>0.02</v>
      </c>
      <c r="D7" s="26">
        <f>G7/(1+E7+C7)*C7</f>
        <v>65320.8423423423</v>
      </c>
      <c r="E7" s="25">
        <v>0.09</v>
      </c>
      <c r="F7" s="12">
        <f>G7/(1+C7+E7)*E7</f>
        <v>293943.79054054</v>
      </c>
      <c r="G7" s="27">
        <v>3625306.75</v>
      </c>
      <c r="H7" s="24">
        <v>42626</v>
      </c>
      <c r="I7" s="12">
        <v>500000</v>
      </c>
      <c r="J7" s="58" t="s">
        <v>27</v>
      </c>
      <c r="L7" s="59"/>
      <c r="M7" s="60"/>
    </row>
    <row r="8" ht="18" customHeight="1" spans="1:13">
      <c r="A8" s="24">
        <v>42751</v>
      </c>
      <c r="B8" s="12">
        <f t="shared" ref="B8:B16" si="0">G8/(1+C8+E8)</f>
        <v>3883321.78378378</v>
      </c>
      <c r="C8" s="25">
        <v>0.02</v>
      </c>
      <c r="D8" s="26">
        <f t="shared" ref="D8:D16" si="1">G8/(1+E8+C8)*C8</f>
        <v>77666.4356756757</v>
      </c>
      <c r="E8" s="25">
        <v>0.09</v>
      </c>
      <c r="F8" s="12">
        <f t="shared" ref="F8:F16" si="2">G8/(1+C8+E8)*E8</f>
        <v>349498.96054054</v>
      </c>
      <c r="G8" s="27">
        <v>4310487.18</v>
      </c>
      <c r="H8" s="24">
        <v>42723</v>
      </c>
      <c r="I8" s="12">
        <v>500000</v>
      </c>
      <c r="J8" s="58" t="s">
        <v>27</v>
      </c>
      <c r="L8" s="61"/>
      <c r="M8" s="60"/>
    </row>
    <row r="9" ht="18" customHeight="1" spans="1:13">
      <c r="A9" s="24">
        <v>43315</v>
      </c>
      <c r="B9" s="12">
        <f t="shared" si="0"/>
        <v>1363636.36363636</v>
      </c>
      <c r="C9" s="25">
        <v>0.02</v>
      </c>
      <c r="D9" s="26">
        <f t="shared" si="1"/>
        <v>27272.7272727273</v>
      </c>
      <c r="E9" s="25">
        <v>0.08</v>
      </c>
      <c r="F9" s="12">
        <f t="shared" si="2"/>
        <v>109090.909090909</v>
      </c>
      <c r="G9" s="27">
        <v>1500000</v>
      </c>
      <c r="H9" s="24">
        <v>42732</v>
      </c>
      <c r="I9" s="12">
        <v>2175184.05</v>
      </c>
      <c r="J9" s="58" t="s">
        <v>27</v>
      </c>
      <c r="M9" s="60"/>
    </row>
    <row r="10" ht="18" customHeight="1" spans="1:13">
      <c r="A10" s="24">
        <v>43315</v>
      </c>
      <c r="B10" s="12">
        <f t="shared" si="0"/>
        <v>1916224.51818182</v>
      </c>
      <c r="C10" s="25">
        <v>0.02</v>
      </c>
      <c r="D10" s="26">
        <f t="shared" si="1"/>
        <v>38324.4903636364</v>
      </c>
      <c r="E10" s="25">
        <v>0.08</v>
      </c>
      <c r="F10" s="12">
        <f t="shared" si="2"/>
        <v>153297.961454545</v>
      </c>
      <c r="G10" s="27">
        <v>2107846.97</v>
      </c>
      <c r="H10" s="24">
        <v>42755</v>
      </c>
      <c r="I10" s="12">
        <v>2310487.18</v>
      </c>
      <c r="J10" s="58" t="s">
        <v>27</v>
      </c>
      <c r="M10" s="60"/>
    </row>
    <row r="11" ht="18" customHeight="1" spans="1:13">
      <c r="A11" s="24">
        <v>43315</v>
      </c>
      <c r="B11" s="12">
        <f t="shared" si="0"/>
        <v>1363636.36363636</v>
      </c>
      <c r="C11" s="25">
        <v>0.02</v>
      </c>
      <c r="D11" s="26">
        <f t="shared" si="1"/>
        <v>27272.7272727273</v>
      </c>
      <c r="E11" s="25">
        <v>0.08</v>
      </c>
      <c r="F11" s="12">
        <f t="shared" si="2"/>
        <v>109090.909090909</v>
      </c>
      <c r="G11" s="27">
        <v>1500000</v>
      </c>
      <c r="H11" s="24">
        <v>42755</v>
      </c>
      <c r="I11" s="12">
        <v>2000000</v>
      </c>
      <c r="J11" s="58" t="s">
        <v>27</v>
      </c>
      <c r="M11" s="60"/>
    </row>
    <row r="12" ht="18" customHeight="1" spans="1:13">
      <c r="A12" s="24">
        <v>43322</v>
      </c>
      <c r="B12" s="12">
        <f t="shared" si="0"/>
        <v>1317539.39090909</v>
      </c>
      <c r="C12" s="25">
        <v>0.02</v>
      </c>
      <c r="D12" s="26">
        <f t="shared" si="1"/>
        <v>26350.7878181818</v>
      </c>
      <c r="E12" s="25">
        <v>0.08</v>
      </c>
      <c r="F12" s="12">
        <f t="shared" si="2"/>
        <v>105403.151272727</v>
      </c>
      <c r="G12" s="27">
        <v>1449293.33</v>
      </c>
      <c r="H12" s="24">
        <v>42758</v>
      </c>
      <c r="I12" s="12">
        <v>450122.7</v>
      </c>
      <c r="J12" s="58" t="s">
        <v>27</v>
      </c>
      <c r="M12" s="60"/>
    </row>
    <row r="13" ht="18" customHeight="1" spans="1:13">
      <c r="A13" s="24"/>
      <c r="B13" s="12">
        <f t="shared" si="0"/>
        <v>0</v>
      </c>
      <c r="C13" s="25">
        <v>0.02</v>
      </c>
      <c r="D13" s="26">
        <f t="shared" si="1"/>
        <v>0</v>
      </c>
      <c r="E13" s="25">
        <v>0.08</v>
      </c>
      <c r="F13" s="12">
        <f t="shared" si="2"/>
        <v>0</v>
      </c>
      <c r="G13" s="27"/>
      <c r="H13" s="24">
        <v>42760</v>
      </c>
      <c r="I13" s="12">
        <v>1500000</v>
      </c>
      <c r="J13" s="58" t="s">
        <v>27</v>
      </c>
      <c r="M13" s="60"/>
    </row>
    <row r="14" ht="18" customHeight="1" spans="1:13">
      <c r="A14" s="24"/>
      <c r="B14" s="12">
        <f t="shared" si="0"/>
        <v>0</v>
      </c>
      <c r="C14" s="25">
        <v>0.02</v>
      </c>
      <c r="D14" s="26">
        <f t="shared" si="1"/>
        <v>0</v>
      </c>
      <c r="E14" s="25">
        <v>0.08</v>
      </c>
      <c r="F14" s="12">
        <f t="shared" si="2"/>
        <v>0</v>
      </c>
      <c r="G14" s="27"/>
      <c r="H14" s="24">
        <v>43340</v>
      </c>
      <c r="I14" s="12">
        <v>607846.04</v>
      </c>
      <c r="J14" s="58" t="s">
        <v>27</v>
      </c>
      <c r="M14" s="60"/>
    </row>
    <row r="15" ht="18" customHeight="1" spans="1:13">
      <c r="A15" s="24"/>
      <c r="B15" s="12">
        <f t="shared" si="0"/>
        <v>0</v>
      </c>
      <c r="C15" s="25">
        <v>0.02</v>
      </c>
      <c r="D15" s="26">
        <f t="shared" si="1"/>
        <v>0</v>
      </c>
      <c r="E15" s="25">
        <v>0.08</v>
      </c>
      <c r="F15" s="12">
        <f t="shared" si="2"/>
        <v>0</v>
      </c>
      <c r="G15" s="27"/>
      <c r="H15" s="24">
        <v>43340</v>
      </c>
      <c r="I15" s="12">
        <v>3000000</v>
      </c>
      <c r="J15" s="58" t="s">
        <v>27</v>
      </c>
      <c r="M15" s="60"/>
    </row>
    <row r="16" ht="18" customHeight="1" spans="1:10">
      <c r="A16" s="24"/>
      <c r="B16" s="12">
        <f t="shared" si="0"/>
        <v>0</v>
      </c>
      <c r="C16" s="25">
        <v>0.02</v>
      </c>
      <c r="D16" s="26">
        <f t="shared" si="1"/>
        <v>0</v>
      </c>
      <c r="E16" s="25">
        <v>0.08</v>
      </c>
      <c r="F16" s="12">
        <f t="shared" si="2"/>
        <v>0</v>
      </c>
      <c r="G16" s="27"/>
      <c r="H16" s="24"/>
      <c r="I16" s="12"/>
      <c r="J16" s="58"/>
    </row>
    <row r="17" ht="18" customHeight="1" spans="1:12">
      <c r="A17" s="28" t="s">
        <v>28</v>
      </c>
      <c r="B17" s="29">
        <f>SUM(B7:B16)</f>
        <v>13110400.5372645</v>
      </c>
      <c r="C17" s="29"/>
      <c r="D17" s="29">
        <f t="shared" ref="D17:G17" si="3">SUM(D7:D16)</f>
        <v>262208.010745291</v>
      </c>
      <c r="E17" s="29"/>
      <c r="F17" s="30">
        <f t="shared" si="3"/>
        <v>1120325.68199017</v>
      </c>
      <c r="G17" s="29">
        <f t="shared" si="3"/>
        <v>14492934.23</v>
      </c>
      <c r="H17" s="31"/>
      <c r="I17" s="62">
        <f>SUM(I7:I16)</f>
        <v>13043639.97</v>
      </c>
      <c r="J17" s="31"/>
      <c r="L17" s="4"/>
    </row>
    <row r="18" ht="18" customHeight="1" spans="1:12">
      <c r="A18" s="3" t="s">
        <v>29</v>
      </c>
      <c r="B18" s="6"/>
      <c r="J18" s="4"/>
      <c r="K18" s="4"/>
      <c r="L18" s="5"/>
    </row>
    <row r="19" ht="18" customHeight="1" spans="1:15">
      <c r="A19" s="32" t="s">
        <v>23</v>
      </c>
      <c r="B19" s="22" t="s">
        <v>30</v>
      </c>
      <c r="C19" s="22" t="s">
        <v>31</v>
      </c>
      <c r="D19" s="22" t="s">
        <v>32</v>
      </c>
      <c r="E19" s="22" t="s">
        <v>21</v>
      </c>
      <c r="F19" s="22" t="s">
        <v>33</v>
      </c>
      <c r="G19" s="22" t="s">
        <v>17</v>
      </c>
      <c r="H19" s="22" t="s">
        <v>34</v>
      </c>
      <c r="I19" s="22" t="s">
        <v>35</v>
      </c>
      <c r="J19" s="22" t="s">
        <v>24</v>
      </c>
      <c r="K19" s="63" t="s">
        <v>36</v>
      </c>
      <c r="L19" s="23" t="s">
        <v>37</v>
      </c>
      <c r="M19" s="23" t="s">
        <v>38</v>
      </c>
      <c r="N19" s="23" t="s">
        <v>39</v>
      </c>
      <c r="O19" s="23" t="s">
        <v>40</v>
      </c>
    </row>
    <row r="20" s="1" customFormat="1" ht="18" customHeight="1" spans="1:15">
      <c r="A20" s="33">
        <v>42720</v>
      </c>
      <c r="B20" s="34">
        <f>ROUND(G20/(1+E20),2)</f>
        <v>2342342.34</v>
      </c>
      <c r="C20" s="35">
        <v>26</v>
      </c>
      <c r="D20" s="36" t="s">
        <v>41</v>
      </c>
      <c r="E20" s="37">
        <v>0.11</v>
      </c>
      <c r="F20" s="34">
        <f>ROUND(G20/(1+E20)*E20,2)</f>
        <v>257657.66</v>
      </c>
      <c r="G20" s="27">
        <v>2600000</v>
      </c>
      <c r="H20" s="24">
        <v>42739</v>
      </c>
      <c r="I20" s="12">
        <v>1000000</v>
      </c>
      <c r="J20" s="58" t="s">
        <v>27</v>
      </c>
      <c r="K20" s="64" t="s">
        <v>19</v>
      </c>
      <c r="L20" s="65" t="s">
        <v>42</v>
      </c>
      <c r="M20" s="66" t="s">
        <v>43</v>
      </c>
      <c r="N20" s="66" t="s">
        <v>44</v>
      </c>
      <c r="O20" s="66" t="s">
        <v>45</v>
      </c>
    </row>
    <row r="21" s="2" customFormat="1" ht="18" customHeight="1" spans="1:15">
      <c r="A21" s="38">
        <v>42720</v>
      </c>
      <c r="B21" s="39">
        <f t="shared" ref="B21:B70" si="4">ROUND(G21/(1+E21),2)</f>
        <v>94391.45</v>
      </c>
      <c r="C21" s="40">
        <v>1</v>
      </c>
      <c r="D21" s="41" t="s">
        <v>41</v>
      </c>
      <c r="E21" s="42">
        <v>0.17</v>
      </c>
      <c r="F21" s="39">
        <f t="shared" ref="F21:F70" si="5">ROUND(G21/(1+E21)*E21,2)</f>
        <v>16046.55</v>
      </c>
      <c r="G21" s="27">
        <v>110438</v>
      </c>
      <c r="H21" s="43">
        <v>42705</v>
      </c>
      <c r="I21" s="26">
        <v>200000</v>
      </c>
      <c r="J21" s="67" t="s">
        <v>46</v>
      </c>
      <c r="K21" s="64" t="s">
        <v>25</v>
      </c>
      <c r="L21" s="68" t="s">
        <v>47</v>
      </c>
      <c r="M21" s="69" t="s">
        <v>44</v>
      </c>
      <c r="N21" s="69" t="s">
        <v>44</v>
      </c>
      <c r="O21" s="69" t="s">
        <v>45</v>
      </c>
    </row>
    <row r="22" s="2" customFormat="1" ht="18" customHeight="1" spans="1:15">
      <c r="A22" s="38"/>
      <c r="B22" s="39"/>
      <c r="C22" s="40"/>
      <c r="D22" s="41"/>
      <c r="E22" s="42"/>
      <c r="F22" s="39"/>
      <c r="G22" s="27"/>
      <c r="H22" s="43" t="s">
        <v>48</v>
      </c>
      <c r="I22" s="26">
        <v>-200000</v>
      </c>
      <c r="J22" s="67" t="s">
        <v>46</v>
      </c>
      <c r="K22" s="64" t="s">
        <v>4</v>
      </c>
      <c r="L22" s="68"/>
      <c r="M22" s="69"/>
      <c r="N22" s="69"/>
      <c r="O22" s="69"/>
    </row>
    <row r="23" s="1" customFormat="1" ht="18" customHeight="1" spans="1:15">
      <c r="A23" s="33">
        <v>42720</v>
      </c>
      <c r="B23" s="34">
        <f t="shared" si="4"/>
        <v>91302.56</v>
      </c>
      <c r="C23" s="35">
        <v>1</v>
      </c>
      <c r="D23" s="36" t="s">
        <v>41</v>
      </c>
      <c r="E23" s="37">
        <v>0.17</v>
      </c>
      <c r="F23" s="34">
        <f t="shared" si="5"/>
        <v>15521.44</v>
      </c>
      <c r="G23" s="27">
        <v>106824</v>
      </c>
      <c r="H23" s="24"/>
      <c r="I23" s="12"/>
      <c r="J23" s="58"/>
      <c r="K23" s="70" t="s">
        <v>25</v>
      </c>
      <c r="L23" s="65" t="s">
        <v>47</v>
      </c>
      <c r="M23" s="66" t="s">
        <v>44</v>
      </c>
      <c r="N23" s="66" t="s">
        <v>44</v>
      </c>
      <c r="O23" s="66" t="s">
        <v>45</v>
      </c>
    </row>
    <row r="24" s="1" customFormat="1" ht="18" customHeight="1" spans="1:15">
      <c r="A24" s="33">
        <v>42724</v>
      </c>
      <c r="B24" s="34">
        <f t="shared" si="4"/>
        <v>2474660</v>
      </c>
      <c r="C24" s="35"/>
      <c r="D24" s="36"/>
      <c r="E24" s="37"/>
      <c r="F24" s="34">
        <f t="shared" si="5"/>
        <v>0</v>
      </c>
      <c r="G24" s="27">
        <v>2474660</v>
      </c>
      <c r="H24" s="24"/>
      <c r="I24" s="12"/>
      <c r="J24" s="58"/>
      <c r="K24" s="70" t="s">
        <v>49</v>
      </c>
      <c r="L24" s="65" t="s">
        <v>50</v>
      </c>
      <c r="M24" s="66"/>
      <c r="N24" s="66"/>
      <c r="O24" s="66" t="s">
        <v>45</v>
      </c>
    </row>
    <row r="25" s="2" customFormat="1" ht="18" customHeight="1" spans="1:15">
      <c r="A25" s="38">
        <v>42730</v>
      </c>
      <c r="B25" s="39">
        <f t="shared" si="4"/>
        <v>454322.05</v>
      </c>
      <c r="C25" s="40">
        <v>1</v>
      </c>
      <c r="D25" s="41" t="s">
        <v>41</v>
      </c>
      <c r="E25" s="42">
        <v>0.17</v>
      </c>
      <c r="F25" s="39">
        <f t="shared" si="5"/>
        <v>77234.75</v>
      </c>
      <c r="G25" s="27">
        <v>531556.8</v>
      </c>
      <c r="H25" s="43">
        <v>42718</v>
      </c>
      <c r="I25" s="26">
        <v>520000</v>
      </c>
      <c r="J25" s="67" t="s">
        <v>46</v>
      </c>
      <c r="K25" s="64" t="s">
        <v>51</v>
      </c>
      <c r="L25" s="68" t="s">
        <v>52</v>
      </c>
      <c r="M25" s="69" t="s">
        <v>44</v>
      </c>
      <c r="N25" s="69" t="s">
        <v>44</v>
      </c>
      <c r="O25" s="69" t="s">
        <v>45</v>
      </c>
    </row>
    <row r="26" s="2" customFormat="1" ht="18" customHeight="1" spans="1:15">
      <c r="A26" s="38">
        <v>42751</v>
      </c>
      <c r="B26" s="39">
        <f t="shared" si="4"/>
        <v>385165.05</v>
      </c>
      <c r="C26" s="40">
        <v>4</v>
      </c>
      <c r="D26" s="41" t="s">
        <v>41</v>
      </c>
      <c r="E26" s="42">
        <v>0.03</v>
      </c>
      <c r="F26" s="39">
        <f t="shared" si="5"/>
        <v>11554.95</v>
      </c>
      <c r="G26" s="44">
        <v>396720</v>
      </c>
      <c r="H26" s="43">
        <v>42705</v>
      </c>
      <c r="I26" s="26">
        <v>150000</v>
      </c>
      <c r="J26" s="67"/>
      <c r="K26" s="64" t="s">
        <v>53</v>
      </c>
      <c r="L26" s="68" t="s">
        <v>54</v>
      </c>
      <c r="M26" s="69" t="s">
        <v>44</v>
      </c>
      <c r="N26" s="69" t="s">
        <v>44</v>
      </c>
      <c r="O26" s="69"/>
    </row>
    <row r="27" s="2" customFormat="1" ht="18" customHeight="1" spans="1:15">
      <c r="A27" s="38"/>
      <c r="B27" s="39"/>
      <c r="C27" s="40"/>
      <c r="D27" s="41"/>
      <c r="E27" s="42"/>
      <c r="F27" s="39"/>
      <c r="G27" s="27"/>
      <c r="H27" s="43" t="s">
        <v>48</v>
      </c>
      <c r="I27" s="26">
        <v>-520000</v>
      </c>
      <c r="J27" s="67" t="s">
        <v>46</v>
      </c>
      <c r="K27" s="64" t="s">
        <v>4</v>
      </c>
      <c r="L27" s="68"/>
      <c r="M27" s="69"/>
      <c r="N27" s="69"/>
      <c r="O27" s="69"/>
    </row>
    <row r="28" s="2" customFormat="1" ht="18" customHeight="1" spans="1:15">
      <c r="A28" s="38"/>
      <c r="B28" s="39"/>
      <c r="C28" s="40"/>
      <c r="D28" s="41"/>
      <c r="E28" s="42"/>
      <c r="F28" s="39"/>
      <c r="G28" s="27"/>
      <c r="H28" s="43" t="s">
        <v>48</v>
      </c>
      <c r="I28" s="26">
        <v>-150000</v>
      </c>
      <c r="J28" s="67" t="s">
        <v>46</v>
      </c>
      <c r="K28" s="64" t="s">
        <v>4</v>
      </c>
      <c r="L28" s="68"/>
      <c r="M28" s="69"/>
      <c r="N28" s="69"/>
      <c r="O28" s="69"/>
    </row>
    <row r="29" s="2" customFormat="1" ht="24" customHeight="1" spans="1:15">
      <c r="A29" s="38">
        <v>42751</v>
      </c>
      <c r="B29" s="39">
        <f t="shared" si="4"/>
        <v>270231.62</v>
      </c>
      <c r="C29" s="40">
        <v>3</v>
      </c>
      <c r="D29" s="41" t="s">
        <v>41</v>
      </c>
      <c r="E29" s="42">
        <v>0.17</v>
      </c>
      <c r="F29" s="39">
        <f t="shared" si="5"/>
        <v>45939.38</v>
      </c>
      <c r="G29" s="44">
        <v>316171</v>
      </c>
      <c r="H29" s="45" t="s">
        <v>55</v>
      </c>
      <c r="I29" s="26">
        <v>200000</v>
      </c>
      <c r="J29" s="67" t="s">
        <v>27</v>
      </c>
      <c r="K29" s="64" t="s">
        <v>56</v>
      </c>
      <c r="L29" s="68" t="s">
        <v>57</v>
      </c>
      <c r="M29" s="69" t="s">
        <v>44</v>
      </c>
      <c r="N29" s="69" t="s">
        <v>44</v>
      </c>
      <c r="O29" s="69"/>
    </row>
    <row r="30" s="2" customFormat="1" ht="24" customHeight="1" spans="1:15">
      <c r="A30" s="38"/>
      <c r="B30" s="39"/>
      <c r="C30" s="40"/>
      <c r="D30" s="41"/>
      <c r="E30" s="42"/>
      <c r="F30" s="39"/>
      <c r="G30" s="27"/>
      <c r="H30" s="45" t="s">
        <v>48</v>
      </c>
      <c r="I30" s="26">
        <v>-200000</v>
      </c>
      <c r="J30" s="67" t="s">
        <v>46</v>
      </c>
      <c r="K30" s="64" t="s">
        <v>4</v>
      </c>
      <c r="L30" s="68"/>
      <c r="M30" s="69"/>
      <c r="N30" s="69"/>
      <c r="O30" s="69"/>
    </row>
    <row r="31" s="1" customFormat="1" ht="18" customHeight="1" spans="1:15">
      <c r="A31" s="33">
        <v>42751</v>
      </c>
      <c r="B31" s="34">
        <f t="shared" si="4"/>
        <v>402461.03</v>
      </c>
      <c r="C31" s="35">
        <v>3</v>
      </c>
      <c r="D31" s="36" t="s">
        <v>41</v>
      </c>
      <c r="E31" s="37">
        <v>0.17</v>
      </c>
      <c r="F31" s="34">
        <f t="shared" si="5"/>
        <v>68418.37</v>
      </c>
      <c r="G31" s="44">
        <v>470879.4</v>
      </c>
      <c r="H31" s="24" t="s">
        <v>58</v>
      </c>
      <c r="I31" s="12">
        <f>310000+150000</f>
        <v>460000</v>
      </c>
      <c r="J31" s="58" t="s">
        <v>27</v>
      </c>
      <c r="K31" s="64" t="s">
        <v>51</v>
      </c>
      <c r="L31" s="65" t="s">
        <v>52</v>
      </c>
      <c r="M31" s="66" t="s">
        <v>44</v>
      </c>
      <c r="N31" s="66" t="s">
        <v>44</v>
      </c>
      <c r="O31" s="66"/>
    </row>
    <row r="32" s="1" customFormat="1" ht="18" customHeight="1" spans="1:15">
      <c r="A32" s="33"/>
      <c r="B32" s="34"/>
      <c r="C32" s="35"/>
      <c r="D32" s="36"/>
      <c r="E32" s="37"/>
      <c r="F32" s="34"/>
      <c r="G32" s="27"/>
      <c r="H32" s="24">
        <v>42748</v>
      </c>
      <c r="I32" s="12">
        <v>-150000</v>
      </c>
      <c r="J32" s="58" t="s">
        <v>59</v>
      </c>
      <c r="K32" s="64" t="s">
        <v>51</v>
      </c>
      <c r="L32" s="65"/>
      <c r="M32" s="66"/>
      <c r="N32" s="66"/>
      <c r="O32" s="66"/>
    </row>
    <row r="33" s="1" customFormat="1" ht="18" customHeight="1" spans="1:15">
      <c r="A33" s="33">
        <v>42751</v>
      </c>
      <c r="B33" s="34">
        <f t="shared" si="4"/>
        <v>936186.49</v>
      </c>
      <c r="C33" s="35">
        <v>10</v>
      </c>
      <c r="D33" s="36" t="s">
        <v>41</v>
      </c>
      <c r="E33" s="37">
        <v>0.11</v>
      </c>
      <c r="F33" s="34">
        <f t="shared" si="5"/>
        <v>102980.51</v>
      </c>
      <c r="G33" s="44">
        <v>1039167</v>
      </c>
      <c r="H33" s="24">
        <v>42758</v>
      </c>
      <c r="I33" s="12">
        <v>200000</v>
      </c>
      <c r="J33" s="58" t="s">
        <v>27</v>
      </c>
      <c r="K33" s="64" t="s">
        <v>60</v>
      </c>
      <c r="L33" s="65" t="s">
        <v>61</v>
      </c>
      <c r="M33" s="66"/>
      <c r="N33" s="66"/>
      <c r="O33" s="66"/>
    </row>
    <row r="34" s="1" customFormat="1" ht="18" customHeight="1" spans="1:15">
      <c r="A34" s="33">
        <v>42751</v>
      </c>
      <c r="B34" s="34">
        <f t="shared" si="4"/>
        <v>900900.9</v>
      </c>
      <c r="C34" s="35">
        <v>10</v>
      </c>
      <c r="D34" s="36" t="s">
        <v>41</v>
      </c>
      <c r="E34" s="37">
        <v>0.11</v>
      </c>
      <c r="F34" s="34">
        <f t="shared" si="5"/>
        <v>99099.1</v>
      </c>
      <c r="G34" s="44">
        <v>1000000</v>
      </c>
      <c r="H34" s="24" t="s">
        <v>62</v>
      </c>
      <c r="I34" s="12">
        <f>1000000+400000</f>
        <v>1400000</v>
      </c>
      <c r="J34" s="58" t="s">
        <v>27</v>
      </c>
      <c r="K34" s="64" t="s">
        <v>19</v>
      </c>
      <c r="L34" s="65" t="s">
        <v>42</v>
      </c>
      <c r="M34" s="66" t="s">
        <v>43</v>
      </c>
      <c r="N34" s="66" t="s">
        <v>44</v>
      </c>
      <c r="O34" s="66"/>
    </row>
    <row r="35" s="1" customFormat="1" ht="18" customHeight="1" spans="1:15">
      <c r="A35" s="33"/>
      <c r="B35" s="34"/>
      <c r="C35" s="35"/>
      <c r="D35" s="36"/>
      <c r="E35" s="37"/>
      <c r="F35" s="34"/>
      <c r="G35" s="27"/>
      <c r="H35" s="24">
        <v>42893</v>
      </c>
      <c r="I35" s="12">
        <v>-400000</v>
      </c>
      <c r="J35" s="58" t="s">
        <v>46</v>
      </c>
      <c r="K35" s="64" t="s">
        <v>4</v>
      </c>
      <c r="L35" s="65"/>
      <c r="M35" s="66"/>
      <c r="N35" s="66"/>
      <c r="O35" s="66"/>
    </row>
    <row r="36" s="2" customFormat="1" ht="18" customHeight="1" spans="1:15">
      <c r="A36" s="38"/>
      <c r="B36" s="39"/>
      <c r="C36" s="40"/>
      <c r="D36" s="41"/>
      <c r="E36" s="42"/>
      <c r="F36" s="39"/>
      <c r="G36" s="27"/>
      <c r="H36" s="43">
        <v>43143</v>
      </c>
      <c r="I36" s="26">
        <v>400000</v>
      </c>
      <c r="J36" s="67" t="s">
        <v>27</v>
      </c>
      <c r="K36" s="64" t="s">
        <v>19</v>
      </c>
      <c r="L36" s="68"/>
      <c r="M36" s="69"/>
      <c r="N36" s="69"/>
      <c r="O36" s="69"/>
    </row>
    <row r="37" s="2" customFormat="1" ht="18" customHeight="1" spans="1:15">
      <c r="A37" s="38"/>
      <c r="B37" s="39"/>
      <c r="C37" s="40"/>
      <c r="D37" s="41"/>
      <c r="E37" s="42"/>
      <c r="F37" s="39"/>
      <c r="G37" s="27"/>
      <c r="H37" s="43">
        <v>43143</v>
      </c>
      <c r="I37" s="26">
        <v>-400000</v>
      </c>
      <c r="J37" s="67" t="s">
        <v>46</v>
      </c>
      <c r="K37" s="64" t="s">
        <v>4</v>
      </c>
      <c r="L37" s="68"/>
      <c r="M37" s="69"/>
      <c r="N37" s="69"/>
      <c r="O37" s="69"/>
    </row>
    <row r="38" s="1" customFormat="1" ht="18" customHeight="1" spans="1:15">
      <c r="A38" s="33"/>
      <c r="B38" s="34"/>
      <c r="C38" s="35"/>
      <c r="D38" s="36"/>
      <c r="E38" s="37"/>
      <c r="F38" s="34"/>
      <c r="G38" s="27"/>
      <c r="H38" s="24">
        <v>43237</v>
      </c>
      <c r="I38" s="12">
        <v>210000</v>
      </c>
      <c r="J38" s="58" t="s">
        <v>27</v>
      </c>
      <c r="K38" s="64" t="s">
        <v>19</v>
      </c>
      <c r="L38" s="65"/>
      <c r="M38" s="66"/>
      <c r="N38" s="66"/>
      <c r="O38" s="66"/>
    </row>
    <row r="39" s="1" customFormat="1" ht="18" customHeight="1" spans="1:15">
      <c r="A39" s="33"/>
      <c r="B39" s="34"/>
      <c r="C39" s="35"/>
      <c r="D39" s="36"/>
      <c r="E39" s="37"/>
      <c r="F39" s="34"/>
      <c r="G39" s="27"/>
      <c r="H39" s="24">
        <v>43237</v>
      </c>
      <c r="I39" s="12">
        <f>-(50000*4+10000)</f>
        <v>-210000</v>
      </c>
      <c r="J39" s="58" t="s">
        <v>46</v>
      </c>
      <c r="K39" s="64" t="s">
        <v>4</v>
      </c>
      <c r="L39" s="65"/>
      <c r="M39" s="66"/>
      <c r="N39" s="66"/>
      <c r="O39" s="66"/>
    </row>
    <row r="40" s="1" customFormat="1" ht="18" customHeight="1" spans="1:15">
      <c r="A40" s="33">
        <v>42751</v>
      </c>
      <c r="B40" s="34">
        <f t="shared" si="4"/>
        <v>930000</v>
      </c>
      <c r="C40" s="35"/>
      <c r="D40" s="36"/>
      <c r="E40" s="37"/>
      <c r="F40" s="34">
        <f t="shared" si="5"/>
        <v>0</v>
      </c>
      <c r="G40" s="27">
        <v>930000</v>
      </c>
      <c r="H40" s="24"/>
      <c r="I40" s="12"/>
      <c r="J40" s="58"/>
      <c r="K40" s="70" t="s">
        <v>49</v>
      </c>
      <c r="L40" s="65" t="s">
        <v>50</v>
      </c>
      <c r="M40" s="66"/>
      <c r="N40" s="66"/>
      <c r="O40" s="66" t="s">
        <v>45</v>
      </c>
    </row>
    <row r="41" s="1" customFormat="1" ht="18" customHeight="1" spans="1:15">
      <c r="A41" s="33">
        <v>42898</v>
      </c>
      <c r="B41" s="34">
        <f t="shared" si="4"/>
        <v>54551.12</v>
      </c>
      <c r="C41" s="35">
        <v>1</v>
      </c>
      <c r="D41" s="36" t="s">
        <v>41</v>
      </c>
      <c r="E41" s="37">
        <v>0.17</v>
      </c>
      <c r="F41" s="34">
        <f t="shared" si="5"/>
        <v>9273.69</v>
      </c>
      <c r="G41" s="44">
        <v>63824.81</v>
      </c>
      <c r="H41" s="24">
        <v>42758</v>
      </c>
      <c r="I41" s="12">
        <v>93570</v>
      </c>
      <c r="J41" s="58" t="s">
        <v>27</v>
      </c>
      <c r="K41" s="64" t="s">
        <v>63</v>
      </c>
      <c r="L41" s="65" t="s">
        <v>64</v>
      </c>
      <c r="M41" s="66" t="s">
        <v>43</v>
      </c>
      <c r="N41" s="66"/>
      <c r="O41" s="66"/>
    </row>
    <row r="42" s="1" customFormat="1" ht="18" customHeight="1" spans="1:15">
      <c r="A42" s="33"/>
      <c r="B42" s="34">
        <f t="shared" si="4"/>
        <v>0</v>
      </c>
      <c r="C42" s="35"/>
      <c r="D42" s="36"/>
      <c r="E42" s="37"/>
      <c r="F42" s="34">
        <f t="shared" si="5"/>
        <v>0</v>
      </c>
      <c r="G42" s="27"/>
      <c r="H42" s="24">
        <v>42739</v>
      </c>
      <c r="I42" s="12">
        <v>1000000</v>
      </c>
      <c r="J42" s="58" t="s">
        <v>27</v>
      </c>
      <c r="K42" s="64" t="s">
        <v>65</v>
      </c>
      <c r="L42" s="65"/>
      <c r="M42" s="66"/>
      <c r="N42" s="66"/>
      <c r="O42" s="66"/>
    </row>
    <row r="43" s="1" customFormat="1" ht="18" customHeight="1" spans="1:15">
      <c r="A43" s="33">
        <v>43313</v>
      </c>
      <c r="B43" s="34">
        <f t="shared" si="4"/>
        <v>296618.18</v>
      </c>
      <c r="C43" s="35"/>
      <c r="D43" s="36" t="s">
        <v>41</v>
      </c>
      <c r="E43" s="37">
        <v>0.1</v>
      </c>
      <c r="F43" s="34">
        <f t="shared" si="5"/>
        <v>29661.82</v>
      </c>
      <c r="G43" s="44">
        <v>326280</v>
      </c>
      <c r="H43" s="11">
        <v>43320</v>
      </c>
      <c r="I43" s="34">
        <v>326280</v>
      </c>
      <c r="J43" s="58" t="s">
        <v>27</v>
      </c>
      <c r="K43" s="70" t="s">
        <v>66</v>
      </c>
      <c r="L43" s="65"/>
      <c r="M43" s="66"/>
      <c r="N43" s="66"/>
      <c r="O43" s="66"/>
    </row>
    <row r="44" s="1" customFormat="1" ht="18" customHeight="1" spans="1:15">
      <c r="A44" s="33"/>
      <c r="B44" s="34"/>
      <c r="C44" s="35"/>
      <c r="D44" s="36"/>
      <c r="E44" s="37"/>
      <c r="F44" s="34"/>
      <c r="G44" s="27"/>
      <c r="H44" s="11">
        <v>43319</v>
      </c>
      <c r="I44" s="34">
        <f>-(50000*6+26280)</f>
        <v>-326280</v>
      </c>
      <c r="J44" s="58" t="s">
        <v>46</v>
      </c>
      <c r="K44" s="70" t="s">
        <v>4</v>
      </c>
      <c r="L44" s="65"/>
      <c r="M44" s="66"/>
      <c r="N44" s="66"/>
      <c r="O44" s="66"/>
    </row>
    <row r="45" s="1" customFormat="1" ht="18" customHeight="1" spans="1:15">
      <c r="A45" s="33">
        <v>43330</v>
      </c>
      <c r="B45" s="34">
        <f t="shared" si="4"/>
        <v>452586.21</v>
      </c>
      <c r="C45" s="35">
        <v>5</v>
      </c>
      <c r="D45" s="36" t="s">
        <v>41</v>
      </c>
      <c r="E45" s="37">
        <v>0.16</v>
      </c>
      <c r="F45" s="34">
        <f t="shared" si="5"/>
        <v>72413.79</v>
      </c>
      <c r="G45" s="44">
        <f>105000*5</f>
        <v>525000</v>
      </c>
      <c r="H45" s="46">
        <v>43341</v>
      </c>
      <c r="I45" s="44">
        <v>525000</v>
      </c>
      <c r="J45" s="71" t="s">
        <v>27</v>
      </c>
      <c r="K45" s="70" t="s">
        <v>67</v>
      </c>
      <c r="L45" s="65" t="s">
        <v>47</v>
      </c>
      <c r="M45" s="66"/>
      <c r="N45" s="66"/>
      <c r="O45" s="66"/>
    </row>
    <row r="46" s="1" customFormat="1" ht="18" customHeight="1" spans="1:15">
      <c r="A46" s="33">
        <v>43330</v>
      </c>
      <c r="B46" s="34">
        <f t="shared" si="4"/>
        <v>1011242.72</v>
      </c>
      <c r="C46" s="35">
        <v>11</v>
      </c>
      <c r="D46" s="36" t="s">
        <v>41</v>
      </c>
      <c r="E46" s="37">
        <v>0.03</v>
      </c>
      <c r="F46" s="34">
        <f t="shared" si="5"/>
        <v>30337.28</v>
      </c>
      <c r="G46" s="44">
        <f>100000*9+82955+58625</f>
        <v>1041580</v>
      </c>
      <c r="H46" s="46">
        <v>43341</v>
      </c>
      <c r="I46" s="44">
        <v>41580</v>
      </c>
      <c r="J46" s="71" t="s">
        <v>27</v>
      </c>
      <c r="K46" s="70" t="s">
        <v>65</v>
      </c>
      <c r="L46" s="65" t="s">
        <v>68</v>
      </c>
      <c r="M46" s="66"/>
      <c r="N46" s="66"/>
      <c r="O46" s="66"/>
    </row>
    <row r="47" s="1" customFormat="1" ht="18" customHeight="1" spans="1:15">
      <c r="A47" s="33"/>
      <c r="B47" s="47">
        <f t="shared" si="4"/>
        <v>1500000</v>
      </c>
      <c r="C47" s="48"/>
      <c r="D47" s="49" t="s">
        <v>69</v>
      </c>
      <c r="E47" s="50"/>
      <c r="F47" s="47">
        <f t="shared" si="5"/>
        <v>0</v>
      </c>
      <c r="G47" s="51">
        <f>500000+1000000</f>
        <v>1500000</v>
      </c>
      <c r="H47" s="52">
        <v>43348</v>
      </c>
      <c r="I47" s="51">
        <v>927349.8</v>
      </c>
      <c r="J47" s="71" t="s">
        <v>46</v>
      </c>
      <c r="K47" s="72" t="s">
        <v>4</v>
      </c>
      <c r="L47" s="73" t="s">
        <v>70</v>
      </c>
      <c r="M47" s="66"/>
      <c r="N47" s="66"/>
      <c r="O47" s="66"/>
    </row>
    <row r="48" s="1" customFormat="1" ht="18" customHeight="1" spans="1:15">
      <c r="A48" s="33"/>
      <c r="B48" s="47">
        <f t="shared" si="4"/>
        <v>150000</v>
      </c>
      <c r="C48" s="48"/>
      <c r="D48" s="49" t="s">
        <v>69</v>
      </c>
      <c r="E48" s="50"/>
      <c r="F48" s="47">
        <f t="shared" si="5"/>
        <v>0</v>
      </c>
      <c r="G48" s="51">
        <f>98800+51200</f>
        <v>150000</v>
      </c>
      <c r="H48" s="52">
        <v>43430</v>
      </c>
      <c r="I48" s="51">
        <v>722650.2</v>
      </c>
      <c r="J48" s="71" t="s">
        <v>46</v>
      </c>
      <c r="K48" s="72" t="s">
        <v>4</v>
      </c>
      <c r="L48" s="73" t="s">
        <v>71</v>
      </c>
      <c r="M48" s="66"/>
      <c r="N48" s="66"/>
      <c r="O48" s="66"/>
    </row>
    <row r="49" s="1" customFormat="1" ht="18" customHeight="1" spans="1:15">
      <c r="A49" s="33"/>
      <c r="B49" s="47">
        <f t="shared" si="4"/>
        <v>25642.41</v>
      </c>
      <c r="C49" s="48"/>
      <c r="D49" s="49" t="s">
        <v>41</v>
      </c>
      <c r="E49" s="50">
        <v>0.16</v>
      </c>
      <c r="F49" s="47">
        <f t="shared" si="5"/>
        <v>4102.78</v>
      </c>
      <c r="G49" s="51">
        <v>29745.19</v>
      </c>
      <c r="H49" s="52"/>
      <c r="I49" s="51"/>
      <c r="J49" s="74"/>
      <c r="K49" s="72" t="s">
        <v>63</v>
      </c>
      <c r="L49" s="73" t="s">
        <v>64</v>
      </c>
      <c r="M49" s="66"/>
      <c r="N49" s="66"/>
      <c r="O49" s="66"/>
    </row>
    <row r="50" s="1" customFormat="1" ht="18" customHeight="1" spans="1:15">
      <c r="A50" s="33" t="s">
        <v>102</v>
      </c>
      <c r="B50" s="47">
        <f t="shared" si="4"/>
        <v>112874.76</v>
      </c>
      <c r="C50" s="48"/>
      <c r="D50" s="49" t="s">
        <v>41</v>
      </c>
      <c r="E50" s="50">
        <v>0.1</v>
      </c>
      <c r="F50" s="47">
        <f t="shared" si="5"/>
        <v>11287.48</v>
      </c>
      <c r="G50" s="51">
        <v>124162.24</v>
      </c>
      <c r="H50" s="52">
        <v>43348</v>
      </c>
      <c r="I50" s="51">
        <v>181162.24</v>
      </c>
      <c r="J50" s="74" t="s">
        <v>27</v>
      </c>
      <c r="K50" s="72" t="s">
        <v>19</v>
      </c>
      <c r="L50" s="73" t="s">
        <v>42</v>
      </c>
      <c r="M50" s="75"/>
      <c r="N50" s="66"/>
      <c r="O50" s="66"/>
    </row>
    <row r="51" s="1" customFormat="1" ht="18" customHeight="1" spans="1:15">
      <c r="A51" s="33"/>
      <c r="B51" s="34">
        <f t="shared" si="4"/>
        <v>0</v>
      </c>
      <c r="C51" s="35"/>
      <c r="D51" s="36"/>
      <c r="E51" s="37"/>
      <c r="F51" s="34">
        <f t="shared" si="5"/>
        <v>0</v>
      </c>
      <c r="G51" s="27"/>
      <c r="H51" s="53"/>
      <c r="I51" s="76"/>
      <c r="J51" s="77"/>
      <c r="K51" s="70"/>
      <c r="L51" s="65"/>
      <c r="M51" s="66"/>
      <c r="N51" s="66"/>
      <c r="O51" s="66"/>
    </row>
    <row r="52" s="1" customFormat="1" ht="18" customHeight="1" spans="1:15">
      <c r="A52" s="33"/>
      <c r="B52" s="34">
        <f t="shared" si="4"/>
        <v>0</v>
      </c>
      <c r="C52" s="35"/>
      <c r="D52" s="36"/>
      <c r="E52" s="37"/>
      <c r="F52" s="34">
        <f t="shared" si="5"/>
        <v>0</v>
      </c>
      <c r="G52" s="27"/>
      <c r="H52" s="24"/>
      <c r="I52" s="12"/>
      <c r="J52" s="58"/>
      <c r="K52" s="70"/>
      <c r="L52" s="65"/>
      <c r="M52" s="66"/>
      <c r="N52" s="66"/>
      <c r="O52" s="66"/>
    </row>
    <row r="53" s="1" customFormat="1" ht="18" customHeight="1" spans="1:15">
      <c r="A53" s="33"/>
      <c r="B53" s="34">
        <f t="shared" si="4"/>
        <v>0</v>
      </c>
      <c r="C53" s="35"/>
      <c r="D53" s="36"/>
      <c r="E53" s="37"/>
      <c r="F53" s="34">
        <f t="shared" si="5"/>
        <v>0</v>
      </c>
      <c r="G53" s="27"/>
      <c r="H53" s="24"/>
      <c r="I53" s="12"/>
      <c r="J53" s="58"/>
      <c r="K53" s="70"/>
      <c r="L53" s="65"/>
      <c r="M53" s="66"/>
      <c r="N53" s="66"/>
      <c r="O53" s="66"/>
    </row>
    <row r="54" s="1" customFormat="1" ht="18" customHeight="1" spans="1:15">
      <c r="A54" s="33"/>
      <c r="B54" s="34">
        <f t="shared" si="4"/>
        <v>0</v>
      </c>
      <c r="C54" s="35"/>
      <c r="D54" s="36"/>
      <c r="E54" s="37"/>
      <c r="F54" s="34">
        <f t="shared" si="5"/>
        <v>0</v>
      </c>
      <c r="G54" s="27"/>
      <c r="H54" s="24"/>
      <c r="I54" s="12"/>
      <c r="J54" s="58"/>
      <c r="K54" s="70"/>
      <c r="L54" s="65"/>
      <c r="M54" s="66"/>
      <c r="N54" s="66"/>
      <c r="O54" s="66"/>
    </row>
    <row r="55" s="1" customFormat="1" ht="18" customHeight="1" spans="1:15">
      <c r="A55" s="33"/>
      <c r="B55" s="34">
        <f t="shared" si="4"/>
        <v>0</v>
      </c>
      <c r="C55" s="35"/>
      <c r="D55" s="36"/>
      <c r="E55" s="37"/>
      <c r="F55" s="34">
        <f t="shared" si="5"/>
        <v>0</v>
      </c>
      <c r="G55" s="27"/>
      <c r="H55" s="24">
        <v>43304</v>
      </c>
      <c r="I55" s="12">
        <v>128145</v>
      </c>
      <c r="J55" s="58" t="s">
        <v>27</v>
      </c>
      <c r="K55" s="70" t="s">
        <v>72</v>
      </c>
      <c r="L55" s="65" t="s">
        <v>73</v>
      </c>
      <c r="M55" s="66"/>
      <c r="N55" s="66"/>
      <c r="O55" s="66"/>
    </row>
    <row r="56" s="1" customFormat="1" ht="18" customHeight="1" spans="1:15">
      <c r="A56" s="33"/>
      <c r="B56" s="34">
        <f t="shared" si="4"/>
        <v>0</v>
      </c>
      <c r="C56" s="35"/>
      <c r="D56" s="36"/>
      <c r="E56" s="37"/>
      <c r="F56" s="34">
        <f t="shared" si="5"/>
        <v>0</v>
      </c>
      <c r="G56" s="27"/>
      <c r="H56" s="24">
        <v>43304</v>
      </c>
      <c r="I56" s="12">
        <v>-50000</v>
      </c>
      <c r="J56" s="58" t="s">
        <v>46</v>
      </c>
      <c r="K56" s="70" t="s">
        <v>4</v>
      </c>
      <c r="L56" s="65"/>
      <c r="M56" s="66"/>
      <c r="N56" s="66"/>
      <c r="O56" s="66"/>
    </row>
    <row r="57" s="1" customFormat="1" ht="18" customHeight="1" spans="1:15">
      <c r="A57" s="33"/>
      <c r="B57" s="34">
        <f t="shared" si="4"/>
        <v>0</v>
      </c>
      <c r="C57" s="35"/>
      <c r="D57" s="36"/>
      <c r="E57" s="37"/>
      <c r="F57" s="34">
        <f t="shared" si="5"/>
        <v>0</v>
      </c>
      <c r="G57" s="27"/>
      <c r="H57" s="24">
        <v>43304</v>
      </c>
      <c r="I57" s="12">
        <v>-50000</v>
      </c>
      <c r="J57" s="58" t="s">
        <v>46</v>
      </c>
      <c r="K57" s="70" t="s">
        <v>4</v>
      </c>
      <c r="L57" s="65"/>
      <c r="M57" s="66"/>
      <c r="N57" s="66"/>
      <c r="O57" s="66"/>
    </row>
    <row r="58" s="1" customFormat="1" ht="18" customHeight="1" spans="1:15">
      <c r="A58" s="33"/>
      <c r="B58" s="34">
        <f t="shared" si="4"/>
        <v>0</v>
      </c>
      <c r="C58" s="35"/>
      <c r="D58" s="36"/>
      <c r="E58" s="37"/>
      <c r="F58" s="34">
        <f t="shared" si="5"/>
        <v>0</v>
      </c>
      <c r="G58" s="27"/>
      <c r="H58" s="24">
        <v>43304</v>
      </c>
      <c r="I58" s="12">
        <v>-28145</v>
      </c>
      <c r="J58" s="58" t="s">
        <v>46</v>
      </c>
      <c r="K58" s="70" t="s">
        <v>4</v>
      </c>
      <c r="L58" s="65"/>
      <c r="M58" s="66"/>
      <c r="N58" s="66"/>
      <c r="O58" s="66"/>
    </row>
    <row r="59" s="1" customFormat="1" ht="18" customHeight="1" spans="1:15">
      <c r="A59" s="33"/>
      <c r="B59" s="34">
        <f t="shared" si="4"/>
        <v>0</v>
      </c>
      <c r="C59" s="35"/>
      <c r="D59" s="36"/>
      <c r="E59" s="37"/>
      <c r="F59" s="34">
        <f t="shared" si="5"/>
        <v>0</v>
      </c>
      <c r="G59" s="27"/>
      <c r="H59" s="24"/>
      <c r="I59" s="12"/>
      <c r="J59" s="58"/>
      <c r="K59" s="70"/>
      <c r="L59" s="65"/>
      <c r="M59" s="66"/>
      <c r="N59" s="66"/>
      <c r="O59" s="66"/>
    </row>
    <row r="60" s="1" customFormat="1" ht="18" customHeight="1" spans="1:15">
      <c r="A60" s="33"/>
      <c r="B60" s="34">
        <f t="shared" si="4"/>
        <v>0</v>
      </c>
      <c r="C60" s="35"/>
      <c r="D60" s="36"/>
      <c r="E60" s="37"/>
      <c r="F60" s="34">
        <f t="shared" si="5"/>
        <v>0</v>
      </c>
      <c r="G60" s="27"/>
      <c r="H60" s="24" t="s">
        <v>74</v>
      </c>
      <c r="I60" s="12">
        <v>320000</v>
      </c>
      <c r="J60" s="58" t="s">
        <v>46</v>
      </c>
      <c r="K60" s="64" t="s">
        <v>4</v>
      </c>
      <c r="L60" s="65"/>
      <c r="M60" s="66"/>
      <c r="N60" s="66"/>
      <c r="O60" s="66"/>
    </row>
    <row r="61" s="1" customFormat="1" ht="18" customHeight="1" spans="1:15">
      <c r="A61" s="33"/>
      <c r="B61" s="34">
        <f t="shared" si="4"/>
        <v>0</v>
      </c>
      <c r="C61" s="35"/>
      <c r="D61" s="36"/>
      <c r="E61" s="37"/>
      <c r="F61" s="34">
        <f t="shared" si="5"/>
        <v>0</v>
      </c>
      <c r="G61" s="27"/>
      <c r="H61" s="24">
        <v>42739</v>
      </c>
      <c r="I61" s="12">
        <v>184874.42</v>
      </c>
      <c r="J61" s="58" t="s">
        <v>46</v>
      </c>
      <c r="K61" s="64" t="s">
        <v>4</v>
      </c>
      <c r="L61" s="65"/>
      <c r="M61" s="66"/>
      <c r="N61" s="66"/>
      <c r="O61" s="66"/>
    </row>
    <row r="62" s="1" customFormat="1" ht="18" customHeight="1" spans="1:15">
      <c r="A62" s="33"/>
      <c r="B62" s="34">
        <f t="shared" si="4"/>
        <v>0</v>
      </c>
      <c r="C62" s="35"/>
      <c r="D62" s="36"/>
      <c r="E62" s="37"/>
      <c r="F62" s="34">
        <f t="shared" si="5"/>
        <v>0</v>
      </c>
      <c r="G62" s="27"/>
      <c r="H62" s="24">
        <v>42758</v>
      </c>
      <c r="I62" s="12">
        <v>3014587.19</v>
      </c>
      <c r="J62" s="58" t="s">
        <v>46</v>
      </c>
      <c r="K62" s="64" t="s">
        <v>4</v>
      </c>
      <c r="L62" s="65"/>
      <c r="M62" s="66"/>
      <c r="N62" s="66"/>
      <c r="O62" s="66"/>
    </row>
    <row r="63" s="1" customFormat="1" ht="18" customHeight="1" spans="1:15">
      <c r="A63" s="33"/>
      <c r="B63" s="34">
        <f t="shared" si="4"/>
        <v>0</v>
      </c>
      <c r="C63" s="35"/>
      <c r="D63" s="36"/>
      <c r="E63" s="37"/>
      <c r="F63" s="34">
        <f t="shared" si="5"/>
        <v>0</v>
      </c>
      <c r="G63" s="27"/>
      <c r="H63" s="24">
        <v>42761</v>
      </c>
      <c r="I63" s="12">
        <v>1950122.7</v>
      </c>
      <c r="J63" s="58" t="s">
        <v>46</v>
      </c>
      <c r="K63" s="64" t="s">
        <v>4</v>
      </c>
      <c r="L63" s="65"/>
      <c r="M63" s="66"/>
      <c r="N63" s="66"/>
      <c r="O63" s="66"/>
    </row>
    <row r="64" s="1" customFormat="1" ht="18" customHeight="1" spans="1:15">
      <c r="A64" s="33"/>
      <c r="B64" s="34">
        <f t="shared" si="4"/>
        <v>0</v>
      </c>
      <c r="C64" s="35"/>
      <c r="D64" s="36"/>
      <c r="E64" s="37"/>
      <c r="F64" s="34">
        <f t="shared" si="5"/>
        <v>0</v>
      </c>
      <c r="G64" s="27"/>
      <c r="H64" s="24">
        <v>43103</v>
      </c>
      <c r="I64" s="12">
        <v>254370.13</v>
      </c>
      <c r="J64" s="58" t="s">
        <v>46</v>
      </c>
      <c r="K64" s="64" t="s">
        <v>75</v>
      </c>
      <c r="L64" s="65"/>
      <c r="M64" s="66"/>
      <c r="N64" s="66"/>
      <c r="O64" s="66"/>
    </row>
    <row r="65" s="1" customFormat="1" ht="18" customHeight="1" spans="1:15">
      <c r="A65" s="33"/>
      <c r="B65" s="34"/>
      <c r="C65" s="35"/>
      <c r="D65" s="36"/>
      <c r="E65" s="37"/>
      <c r="F65" s="34"/>
      <c r="G65" s="27"/>
      <c r="H65" s="24"/>
      <c r="I65" s="12">
        <v>-722650.2</v>
      </c>
      <c r="J65" s="58" t="s">
        <v>76</v>
      </c>
      <c r="K65" s="64" t="s">
        <v>77</v>
      </c>
      <c r="L65" s="65"/>
      <c r="M65" s="66"/>
      <c r="N65" s="66"/>
      <c r="O65" s="66"/>
    </row>
    <row r="66" s="1" customFormat="1" ht="18" customHeight="1" spans="1:15">
      <c r="A66" s="33"/>
      <c r="B66" s="34">
        <f>ROUND(G66/(1+E66),2)</f>
        <v>0</v>
      </c>
      <c r="C66" s="35"/>
      <c r="D66" s="36"/>
      <c r="E66" s="37"/>
      <c r="F66" s="34">
        <f>ROUND(G66/(1+E66)*E66,2)</f>
        <v>0</v>
      </c>
      <c r="G66" s="27"/>
      <c r="H66" s="24"/>
      <c r="I66" s="12">
        <v>36078</v>
      </c>
      <c r="J66" s="58" t="s">
        <v>78</v>
      </c>
      <c r="K66" s="64" t="s">
        <v>79</v>
      </c>
      <c r="L66" s="65"/>
      <c r="M66" s="66"/>
      <c r="N66" s="66"/>
      <c r="O66" s="66"/>
    </row>
    <row r="67" s="1" customFormat="1" ht="18" customHeight="1" spans="1:15">
      <c r="A67" s="33"/>
      <c r="B67" s="34">
        <f>ROUND(G67/(1+E67),2)</f>
        <v>0</v>
      </c>
      <c r="C67" s="35"/>
      <c r="D67" s="36"/>
      <c r="E67" s="37"/>
      <c r="F67" s="34">
        <f>ROUND(G67/(1+E67)*E67,2)</f>
        <v>0</v>
      </c>
      <c r="G67" s="27"/>
      <c r="H67" s="24"/>
      <c r="I67" s="12">
        <v>1600000</v>
      </c>
      <c r="J67" s="58" t="s">
        <v>80</v>
      </c>
      <c r="K67" s="70" t="s">
        <v>81</v>
      </c>
      <c r="L67" s="65"/>
      <c r="M67" s="66"/>
      <c r="N67" s="66"/>
      <c r="O67" s="66"/>
    </row>
    <row r="68" s="1" customFormat="1" ht="18" customHeight="1" spans="1:15">
      <c r="A68" s="33"/>
      <c r="B68" s="34"/>
      <c r="C68" s="35"/>
      <c r="D68" s="36"/>
      <c r="E68" s="37"/>
      <c r="F68" s="34"/>
      <c r="G68" s="27"/>
      <c r="H68" s="24"/>
      <c r="I68" s="12">
        <v>295676</v>
      </c>
      <c r="J68" s="58" t="s">
        <v>80</v>
      </c>
      <c r="K68" s="70" t="s">
        <v>82</v>
      </c>
      <c r="L68" s="65"/>
      <c r="M68" s="66"/>
      <c r="N68" s="66"/>
      <c r="O68" s="66"/>
    </row>
    <row r="69" s="1" customFormat="1" ht="18" customHeight="1" spans="1:15">
      <c r="A69" s="33"/>
      <c r="B69" s="34">
        <f>ROUND(G69/(1+E69),2)</f>
        <v>0</v>
      </c>
      <c r="C69" s="35"/>
      <c r="D69" s="36"/>
      <c r="E69" s="37"/>
      <c r="F69" s="34">
        <f>ROUND(G69/(1+E69)*E69,2)</f>
        <v>0</v>
      </c>
      <c r="G69" s="27"/>
      <c r="H69" s="24"/>
      <c r="I69" s="12">
        <f>1959.63+2329.99+13403.69</f>
        <v>17693.31</v>
      </c>
      <c r="J69" s="58" t="s">
        <v>80</v>
      </c>
      <c r="K69" s="64" t="s">
        <v>83</v>
      </c>
      <c r="L69" s="65"/>
      <c r="M69" s="66"/>
      <c r="N69" s="66"/>
      <c r="O69" s="66"/>
    </row>
    <row r="70" s="1" customFormat="1" ht="18" customHeight="1" spans="1:15">
      <c r="A70" s="33"/>
      <c r="B70" s="34">
        <f>ROUND(G70/(1+E70),2)</f>
        <v>0</v>
      </c>
      <c r="C70" s="35"/>
      <c r="D70" s="36"/>
      <c r="E70" s="37"/>
      <c r="F70" s="34">
        <f>ROUND(G70/(1+E70)*E70,2)</f>
        <v>0</v>
      </c>
      <c r="G70" s="27"/>
      <c r="H70" s="24"/>
      <c r="I70" s="12">
        <f>650+300+1000</f>
        <v>1950</v>
      </c>
      <c r="J70" s="58" t="s">
        <v>80</v>
      </c>
      <c r="K70" s="64" t="s">
        <v>84</v>
      </c>
      <c r="L70" s="65"/>
      <c r="M70" s="66"/>
      <c r="N70" s="66"/>
      <c r="O70" s="66"/>
    </row>
    <row r="71" s="1" customFormat="1" ht="18" customHeight="1" spans="1:15">
      <c r="A71" s="33"/>
      <c r="B71" s="34">
        <f>ROUND(G71/(1+E71),2)</f>
        <v>89626.18</v>
      </c>
      <c r="C71" s="35"/>
      <c r="D71" s="36"/>
      <c r="E71" s="37"/>
      <c r="F71" s="34">
        <f>ROUND(G71/(1+E71)*E71,2)</f>
        <v>0</v>
      </c>
      <c r="G71" s="27">
        <f>357700-268073.82</f>
        <v>89626.18</v>
      </c>
      <c r="H71" s="24"/>
      <c r="I71" s="12">
        <f>G71</f>
        <v>89626.18</v>
      </c>
      <c r="J71" s="58" t="s">
        <v>80</v>
      </c>
      <c r="K71" s="64" t="s">
        <v>85</v>
      </c>
      <c r="L71" s="65"/>
      <c r="M71" s="66"/>
      <c r="N71" s="66"/>
      <c r="O71" s="66"/>
    </row>
    <row r="72" ht="18" customHeight="1" spans="1:15">
      <c r="A72" s="29" t="s">
        <v>28</v>
      </c>
      <c r="B72" s="29">
        <f>SUM(B20:B71)</f>
        <v>12975105.07</v>
      </c>
      <c r="C72" s="29"/>
      <c r="D72" s="78"/>
      <c r="E72" s="78"/>
      <c r="F72" s="30">
        <f>SUM(F20:F71)</f>
        <v>851529.55</v>
      </c>
      <c r="G72" s="29">
        <f>SUM(G20:G71)</f>
        <v>13826634.62</v>
      </c>
      <c r="H72" s="31"/>
      <c r="I72" s="29">
        <f>SUM(I20:I71)</f>
        <v>13043639.97</v>
      </c>
      <c r="J72" s="31"/>
      <c r="K72" s="98"/>
      <c r="L72" s="31"/>
      <c r="M72" s="58"/>
      <c r="N72" s="58"/>
      <c r="O72" s="58"/>
    </row>
    <row r="73" ht="18" customHeight="1" spans="1:15">
      <c r="A73" s="79"/>
      <c r="B73" s="79"/>
      <c r="C73" s="79"/>
      <c r="D73" s="80"/>
      <c r="E73" s="80"/>
      <c r="F73" s="81"/>
      <c r="G73" s="79"/>
      <c r="H73" s="82"/>
      <c r="I73" s="79">
        <f>I17-I72</f>
        <v>0</v>
      </c>
      <c r="J73" s="82"/>
      <c r="K73" s="99"/>
      <c r="L73" s="82"/>
      <c r="M73" s="100"/>
      <c r="N73" s="100"/>
      <c r="O73" s="100"/>
    </row>
    <row r="74" ht="18" customHeight="1" spans="1:9">
      <c r="A74" s="83" t="s">
        <v>87</v>
      </c>
      <c r="B74" s="4">
        <f>B17-B72</f>
        <v>135295.467264535</v>
      </c>
      <c r="C74" s="3"/>
      <c r="F74" s="84"/>
      <c r="G74" s="84"/>
      <c r="I74" s="101"/>
    </row>
    <row r="75" ht="18" customHeight="1" spans="1:10">
      <c r="A75" s="32" t="s">
        <v>88</v>
      </c>
      <c r="B75" s="23" t="s">
        <v>89</v>
      </c>
      <c r="C75" s="22" t="s">
        <v>21</v>
      </c>
      <c r="D75" s="22" t="s">
        <v>90</v>
      </c>
      <c r="E75" s="85"/>
      <c r="F75" s="86" t="s">
        <v>91</v>
      </c>
      <c r="G75" s="86" t="s">
        <v>92</v>
      </c>
      <c r="H75" s="22" t="s">
        <v>93</v>
      </c>
      <c r="J75" s="94"/>
    </row>
    <row r="76" ht="18" customHeight="1" spans="1:9">
      <c r="A76" s="10" t="s">
        <v>94</v>
      </c>
      <c r="B76" s="31"/>
      <c r="C76" s="58" t="s">
        <v>95</v>
      </c>
      <c r="D76" s="87">
        <f>F17-F72</f>
        <v>268796.131990172</v>
      </c>
      <c r="E76" s="88"/>
      <c r="F76" s="89">
        <v>0</v>
      </c>
      <c r="G76" s="89">
        <v>0</v>
      </c>
      <c r="H76" s="89">
        <v>268796.13</v>
      </c>
      <c r="I76" s="94"/>
    </row>
    <row r="77" ht="18" customHeight="1" spans="1:9">
      <c r="A77" s="31" t="s">
        <v>96</v>
      </c>
      <c r="B77" s="10" t="s">
        <v>97</v>
      </c>
      <c r="C77" s="13">
        <v>0.05</v>
      </c>
      <c r="D77" s="89">
        <f>D76*C77</f>
        <v>13439.8065995086</v>
      </c>
      <c r="E77" s="88"/>
      <c r="F77" s="89">
        <v>0</v>
      </c>
      <c r="G77" s="89">
        <v>0</v>
      </c>
      <c r="H77" s="89">
        <f>H76*C77</f>
        <v>13439.8065</v>
      </c>
      <c r="I77" s="94"/>
    </row>
    <row r="78" ht="18" customHeight="1" spans="1:9">
      <c r="A78" s="31"/>
      <c r="B78" s="10" t="s">
        <v>98</v>
      </c>
      <c r="C78" s="13">
        <v>0.03</v>
      </c>
      <c r="D78" s="89">
        <f>D76*C78</f>
        <v>8063.88395970516</v>
      </c>
      <c r="E78" s="88"/>
      <c r="F78" s="89">
        <v>0</v>
      </c>
      <c r="G78" s="89">
        <v>0</v>
      </c>
      <c r="H78" s="89">
        <f>H76*C78</f>
        <v>8063.8839</v>
      </c>
      <c r="I78" s="94"/>
    </row>
    <row r="79" ht="18" customHeight="1" spans="1:9">
      <c r="A79" s="31"/>
      <c r="B79" s="10" t="s">
        <v>99</v>
      </c>
      <c r="C79" s="13">
        <v>0.02</v>
      </c>
      <c r="D79" s="89">
        <f>D76*C79</f>
        <v>5375.92263980344</v>
      </c>
      <c r="E79" s="88"/>
      <c r="F79" s="89">
        <v>0</v>
      </c>
      <c r="G79" s="89">
        <v>0</v>
      </c>
      <c r="H79" s="89">
        <f>H76*C79</f>
        <v>5375.9226</v>
      </c>
      <c r="I79" s="94"/>
    </row>
    <row r="80" ht="18" customHeight="1" spans="1:9">
      <c r="A80" s="90" t="s">
        <v>100</v>
      </c>
      <c r="B80" s="30"/>
      <c r="C80" s="90"/>
      <c r="D80" s="91">
        <f>SUM(D76:D79)</f>
        <v>295675.745189189</v>
      </c>
      <c r="E80" s="92"/>
      <c r="F80" s="91">
        <f>SUM(F76:F79)</f>
        <v>0</v>
      </c>
      <c r="G80" s="91">
        <f t="shared" ref="G80:H80" si="6">SUM(G76:G79)</f>
        <v>0</v>
      </c>
      <c r="H80" s="91">
        <f t="shared" si="6"/>
        <v>295675.743</v>
      </c>
      <c r="I80" s="94"/>
    </row>
    <row r="81" ht="21.95" customHeight="1" spans="2:9">
      <c r="B81" s="12" t="s">
        <v>101</v>
      </c>
      <c r="C81" s="93">
        <v>0.0006</v>
      </c>
      <c r="D81" s="89">
        <f>(B7+B8)*C81</f>
        <v>4289.61834054054</v>
      </c>
      <c r="E81" s="94"/>
      <c r="F81" s="89">
        <f>B7*0.0006</f>
        <v>1959.62527027027</v>
      </c>
      <c r="G81" s="89">
        <f>B8*0.0006</f>
        <v>2329.99307027027</v>
      </c>
      <c r="H81" s="89">
        <v>0</v>
      </c>
      <c r="I81" s="94"/>
    </row>
    <row r="82" ht="21.95" customHeight="1" spans="2:9">
      <c r="B82" s="95" t="s">
        <v>28</v>
      </c>
      <c r="C82" s="96"/>
      <c r="D82" s="97">
        <f>D81+D80</f>
        <v>299965.36352973</v>
      </c>
      <c r="E82" s="94"/>
      <c r="F82" s="91">
        <f>F81+F80</f>
        <v>1959.62527027027</v>
      </c>
      <c r="G82" s="91">
        <f t="shared" ref="G82:H82" si="7">G81+G80</f>
        <v>2329.99307027027</v>
      </c>
      <c r="H82" s="91">
        <f t="shared" si="7"/>
        <v>295675.743</v>
      </c>
      <c r="I82" s="94"/>
    </row>
    <row r="83" ht="21.95" customHeight="1" spans="3:7">
      <c r="C83" s="3"/>
      <c r="F83" s="84"/>
      <c r="G83" s="84"/>
    </row>
    <row r="84" ht="21.95" customHeight="1" spans="3:7">
      <c r="C84" s="3"/>
      <c r="F84" s="84"/>
      <c r="G84" s="84"/>
    </row>
    <row r="85" ht="21.95" customHeight="1" spans="3:7">
      <c r="C85" s="3"/>
      <c r="F85" s="84"/>
      <c r="G85" s="84"/>
    </row>
    <row r="86" spans="3:7">
      <c r="C86" s="3"/>
      <c r="F86" s="84"/>
      <c r="G86" s="84"/>
    </row>
    <row r="87" spans="3:7">
      <c r="C87" s="3"/>
      <c r="F87" s="84"/>
      <c r="G87" s="84"/>
    </row>
    <row r="88" spans="3:7">
      <c r="C88" s="3"/>
      <c r="F88" s="84"/>
      <c r="G88" s="84"/>
    </row>
    <row r="89" spans="3:7">
      <c r="C89" s="3"/>
      <c r="F89" s="84"/>
      <c r="G89" s="84"/>
    </row>
    <row r="90" spans="3:7">
      <c r="C90" s="3"/>
      <c r="F90" s="84"/>
      <c r="G90" s="84"/>
    </row>
    <row r="91" spans="3:7">
      <c r="C91" s="3"/>
      <c r="F91" s="84"/>
      <c r="G91" s="84"/>
    </row>
    <row r="92" spans="3:7">
      <c r="C92" s="3"/>
      <c r="F92" s="84"/>
      <c r="G92" s="84"/>
    </row>
    <row r="93" spans="3:7">
      <c r="C93" s="3"/>
      <c r="F93" s="84"/>
      <c r="G93" s="84"/>
    </row>
    <row r="94" spans="3:7">
      <c r="C94" s="3"/>
      <c r="F94" s="84"/>
      <c r="G94" s="84"/>
    </row>
    <row r="95" spans="3:7">
      <c r="C95" s="3"/>
      <c r="F95" s="84"/>
      <c r="G95" s="84"/>
    </row>
    <row r="96" spans="3:7">
      <c r="C96" s="3"/>
      <c r="F96" s="84"/>
      <c r="G96" s="84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</sheetData>
  <autoFilter ref="A19:O82">
    <extLst/>
  </autoFilter>
  <mergeCells count="8">
    <mergeCell ref="A1:L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scale="78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7"/>
    </sheetView>
  </sheetViews>
  <sheetFormatPr defaultColWidth="9" defaultRowHeight="13.5" outlineLevelRow="5" outlineLevelCol="2"/>
  <sheetData>
    <row r="1" spans="1:3">
      <c r="A1">
        <v>139810</v>
      </c>
      <c r="B1">
        <v>135080</v>
      </c>
      <c r="C1">
        <v>139370</v>
      </c>
    </row>
    <row r="2" spans="1:3">
      <c r="A2">
        <v>136180</v>
      </c>
      <c r="B2">
        <v>131890</v>
      </c>
      <c r="C2">
        <v>136070</v>
      </c>
    </row>
    <row r="3" spans="1:3">
      <c r="A3">
        <v>135580</v>
      </c>
      <c r="B3">
        <v>131400</v>
      </c>
      <c r="C3">
        <v>135780</v>
      </c>
    </row>
    <row r="4" spans="1:3">
      <c r="A4">
        <v>142500</v>
      </c>
      <c r="B4">
        <v>137800</v>
      </c>
      <c r="C4">
        <v>142600</v>
      </c>
    </row>
    <row r="5" spans="1:3">
      <c r="A5">
        <v>138570</v>
      </c>
      <c r="B5">
        <v>134290</v>
      </c>
      <c r="C5">
        <v>138330</v>
      </c>
    </row>
    <row r="6" spans="1:3">
      <c r="A6">
        <v>141250</v>
      </c>
      <c r="B6">
        <v>136800</v>
      </c>
      <c r="C6">
        <v>141360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6">
    <comment s:ref="I29" rgbClr="8F9A0C"/>
  </commentList>
  <commentList sheetStid="4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2017-04-07T03:28:00Z</cp:lastPrinted>
  <dcterms:modified xsi:type="dcterms:W3CDTF">2022-07-12T02:03:12Z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C6CB4DB5144A41D79C2BEE2E7E361928</vt:lpwstr>
  </property>
</Properties>
</file>