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金叶大道" sheetId="7" r:id="rId1"/>
  </sheets>
  <definedNames>
    <definedName name="_xlnm._FilterDatabase" localSheetId="0" hidden="1">金叶大道!$A$15:$O$54</definedName>
  </definedNames>
  <calcPr calcId="144525"/>
</workbook>
</file>

<file path=xl/comments1.xml><?xml version="1.0" encoding="utf-8"?>
<comments xmlns="http://schemas.openxmlformats.org/spreadsheetml/2006/main">
  <authors>
    <author>qyr</author>
    <author>cw05</author>
  </authors>
  <commentList>
    <comment ref="G25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跨月按普票使用</t>
        </r>
      </text>
    </comment>
    <comment ref="A47" authorId="1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48" authorId="1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<sst xmlns="http://schemas.openxmlformats.org/spreadsheetml/2006/main" count="141" uniqueCount="75">
  <si>
    <t>C3930  安徽省白湖监狱管理分局土地开发复垦项目五标段</t>
  </si>
  <si>
    <t>中标日期</t>
  </si>
  <si>
    <t>2016.6.15</t>
  </si>
  <si>
    <t>周新科15956556000</t>
  </si>
  <si>
    <t>安徽省白湖农场集团有限责任公司9134 0124 7050 25013J</t>
  </si>
  <si>
    <t>决算日期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</si>
  <si>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</si>
  <si>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</si>
  <si>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</si>
  <si>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</si>
  <si>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</si>
  <si>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</si>
  <si>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</si>
  <si>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</si>
  <si>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</si>
  <si>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</si>
  <si>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</si>
  <si>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</si>
  <si>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</si>
  <si>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</si>
  <si>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</si>
  <si>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</si>
  <si>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</si>
  <si>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</si>
  <si>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</si>
  <si>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</si>
  <si>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</si>
  <si>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</si>
  <si>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</si>
  <si>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</si>
  <si>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</si>
  <si>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</si>
  <si>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</si>
  <si>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</si>
  <si>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2017-1-</t>
  </si>
  <si>
    <t>徽行</t>
  </si>
  <si>
    <t>周新科</t>
  </si>
  <si>
    <t>补录</t>
  </si>
  <si>
    <t>2017-9-</t>
  </si>
  <si>
    <t>2018-1-</t>
  </si>
  <si>
    <t>普</t>
  </si>
  <si>
    <t>直接材料</t>
  </si>
  <si>
    <t>个人分包</t>
  </si>
  <si>
    <t>机械</t>
  </si>
  <si>
    <t>3份</t>
  </si>
  <si>
    <t>专</t>
  </si>
  <si>
    <t>庐江县高辉建筑劳务服务有限公司</t>
  </si>
  <si>
    <t>挖机工程款</t>
  </si>
  <si>
    <t>3次</t>
  </si>
  <si>
    <t>扣</t>
  </si>
  <si>
    <t>工程决算</t>
  </si>
  <si>
    <t>印花税、水利基金</t>
  </si>
  <si>
    <t>增值税及附加</t>
  </si>
  <si>
    <t>管理费2%</t>
  </si>
  <si>
    <t>2次</t>
  </si>
  <si>
    <t>1次</t>
  </si>
  <si>
    <t>朱总2次出场*1000</t>
  </si>
  <si>
    <t>应提供成本</t>
  </si>
  <si>
    <t>可支付金额</t>
  </si>
  <si>
    <t>公司代缴税金：</t>
  </si>
  <si>
    <t>税种</t>
  </si>
  <si>
    <t>税额</t>
  </si>
  <si>
    <t>2017年1月开票税金</t>
  </si>
  <si>
    <t>2017年9月开票税金</t>
  </si>
  <si>
    <t>2018年1月开票税金</t>
  </si>
  <si>
    <t>2021年8月开票税金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</si>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</sst>
</file>

<file path=xl/styles.xml><?xml version="1.0" encoding="utf-8"?>
<styleSheet xmlns="http://schemas.openxmlformats.org/spreadsheetml/2006/main">
  <numFmts count="9">
    <numFmt numFmtId="176" formatCode="0.00_ "/>
    <numFmt numFmtId="42" formatCode="_ &quot;￥&quot;* #,##0_ ;_ &quot;￥&quot;* \-#,##0_ ;_ &quot;￥&quot;* &quot;-&quot;_ ;_ @_ "/>
    <numFmt numFmtId="177" formatCode="yy/m/d;@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8" formatCode="#,##0_ "/>
    <numFmt numFmtId="179" formatCode="#,##0.00_ "/>
    <numFmt numFmtId="180" formatCode="yyyy&quot;年&quot;m&quot;月&quot;;@"/>
  </numFmts>
  <fonts count="32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rgb="FF333333"/>
      <name val="宋体"/>
      <charset val="134"/>
    </font>
    <font>
      <sz val="9"/>
      <color rgb="FF333333"/>
      <name val="宋体"/>
      <charset val="134"/>
    </font>
    <font>
      <b/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2" borderId="12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29" fillId="13" borderId="6" applyNumberFormat="0" applyAlignment="0" applyProtection="0">
      <alignment vertical="center"/>
    </xf>
    <xf numFmtId="0" fontId="22" fillId="27" borderId="10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90">
    <xf numFmtId="0" fontId="0" fillId="0" borderId="0" xfId="0"/>
    <xf numFmtId="0" fontId="1" fillId="0" borderId="0" xfId="0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9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horizontal="left" vertical="center"/>
    </xf>
    <xf numFmtId="179" fontId="2" fillId="0" borderId="2" xfId="0" applyNumberFormat="1" applyFont="1" applyBorder="1" applyAlignment="1">
      <alignment vertical="center"/>
    </xf>
    <xf numFmtId="179" fontId="4" fillId="0" borderId="0" xfId="0" applyNumberFormat="1" applyFont="1"/>
    <xf numFmtId="179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76" fontId="2" fillId="0" borderId="2" xfId="0" applyNumberFormat="1" applyFont="1" applyBorder="1" applyAlignment="1">
      <alignment horizontal="center" vertical="center" wrapText="1"/>
    </xf>
    <xf numFmtId="177" fontId="2" fillId="0" borderId="3" xfId="0" applyNumberFormat="1" applyFont="1" applyBorder="1" applyAlignment="1">
      <alignment horizontal="left" vertical="center"/>
    </xf>
    <xf numFmtId="176" fontId="1" fillId="0" borderId="2" xfId="0" applyNumberFormat="1" applyFont="1" applyBorder="1" applyAlignment="1">
      <alignment horizontal="left" vertical="center"/>
    </xf>
    <xf numFmtId="179" fontId="6" fillId="0" borderId="2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/>
    </xf>
    <xf numFmtId="179" fontId="7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9" fontId="2" fillId="0" borderId="2" xfId="11" applyNumberFormat="1" applyFont="1" applyBorder="1" applyAlignment="1">
      <alignment horizontal="center" vertical="center"/>
    </xf>
    <xf numFmtId="179" fontId="2" fillId="0" borderId="2" xfId="0" applyNumberFormat="1" applyFont="1" applyFill="1" applyBorder="1" applyAlignment="1">
      <alignment vertical="center"/>
    </xf>
    <xf numFmtId="179" fontId="1" fillId="2" borderId="2" xfId="0" applyNumberFormat="1" applyFont="1" applyFill="1" applyBorder="1" applyAlignment="1">
      <alignment vertical="center"/>
    </xf>
    <xf numFmtId="177" fontId="7" fillId="0" borderId="2" xfId="0" applyNumberFormat="1" applyFont="1" applyBorder="1" applyAlignment="1">
      <alignment vertical="center"/>
    </xf>
    <xf numFmtId="179" fontId="7" fillId="3" borderId="2" xfId="0" applyNumberFormat="1" applyFont="1" applyFill="1" applyBorder="1" applyAlignment="1">
      <alignment vertical="center"/>
    </xf>
    <xf numFmtId="179" fontId="7" fillId="0" borderId="2" xfId="0" applyNumberFormat="1" applyFont="1" applyBorder="1" applyAlignment="1">
      <alignment vertical="center"/>
    </xf>
    <xf numFmtId="179" fontId="7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7" fontId="7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vertical="center"/>
    </xf>
    <xf numFmtId="178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179" fontId="2" fillId="2" borderId="2" xfId="0" applyNumberFormat="1" applyFont="1" applyFill="1" applyBorder="1" applyAlignment="1">
      <alignment vertical="center"/>
    </xf>
    <xf numFmtId="180" fontId="8" fillId="0" borderId="2" xfId="0" applyNumberFormat="1" applyFont="1" applyBorder="1" applyAlignment="1">
      <alignment horizontal="center" vertical="center"/>
    </xf>
    <xf numFmtId="179" fontId="8" fillId="0" borderId="2" xfId="0" applyNumberFormat="1" applyFont="1" applyBorder="1" applyAlignment="1">
      <alignment vertical="center"/>
    </xf>
    <xf numFmtId="178" fontId="8" fillId="0" borderId="2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9" fontId="8" fillId="5" borderId="2" xfId="11" applyNumberFormat="1" applyFont="1" applyFill="1" applyBorder="1" applyAlignment="1">
      <alignment horizontal="center" vertical="center"/>
    </xf>
    <xf numFmtId="179" fontId="8" fillId="2" borderId="2" xfId="0" applyNumberFormat="1" applyFont="1" applyFill="1" applyBorder="1" applyAlignment="1">
      <alignment vertical="center"/>
    </xf>
    <xf numFmtId="177" fontId="8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vertical="center"/>
    </xf>
    <xf numFmtId="179" fontId="7" fillId="0" borderId="3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79" fontId="7" fillId="0" borderId="0" xfId="0" applyNumberFormat="1" applyFont="1" applyBorder="1" applyAlignment="1">
      <alignment vertical="center"/>
    </xf>
    <xf numFmtId="0" fontId="7" fillId="0" borderId="0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2" fillId="6" borderId="2" xfId="0" applyNumberFormat="1" applyFont="1" applyFill="1" applyBorder="1" applyAlignment="1">
      <alignment vertical="center"/>
    </xf>
    <xf numFmtId="179" fontId="2" fillId="6" borderId="0" xfId="0" applyNumberFormat="1" applyFont="1" applyFill="1" applyBorder="1" applyAlignment="1">
      <alignment vertical="center"/>
    </xf>
    <xf numFmtId="179" fontId="7" fillId="6" borderId="0" xfId="0" applyNumberFormat="1" applyFont="1" applyFill="1" applyBorder="1" applyAlignment="1">
      <alignment vertical="center"/>
    </xf>
    <xf numFmtId="179" fontId="2" fillId="0" borderId="2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horizontal="right" vertical="center"/>
    </xf>
    <xf numFmtId="179" fontId="2" fillId="6" borderId="2" xfId="0" applyNumberFormat="1" applyFont="1" applyFill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left" vertical="center"/>
    </xf>
    <xf numFmtId="177" fontId="2" fillId="0" borderId="5" xfId="0" applyNumberFormat="1" applyFont="1" applyBorder="1" applyAlignment="1">
      <alignment horizontal="left" vertical="center"/>
    </xf>
    <xf numFmtId="177" fontId="9" fillId="6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9" fontId="2" fillId="0" borderId="0" xfId="0" applyNumberFormat="1" applyFont="1" applyBorder="1" applyAlignment="1">
      <alignment vertical="center" wrapText="1"/>
    </xf>
    <xf numFmtId="10" fontId="2" fillId="0" borderId="0" xfId="0" applyNumberFormat="1" applyFont="1" applyBorder="1" applyAlignment="1">
      <alignment vertical="center" wrapText="1"/>
    </xf>
    <xf numFmtId="10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7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0" fontId="7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179" fontId="7" fillId="4" borderId="2" xfId="0" applyNumberFormat="1" applyFont="1" applyFill="1" applyBorder="1" applyAlignment="1">
      <alignment vertical="center" wrapText="1"/>
    </xf>
    <xf numFmtId="179" fontId="2" fillId="0" borderId="2" xfId="0" applyNumberFormat="1" applyFont="1" applyBorder="1" applyAlignment="1">
      <alignment vertical="center" wrapText="1"/>
    </xf>
    <xf numFmtId="179" fontId="7" fillId="0" borderId="2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2"/>
  <sheetViews>
    <sheetView tabSelected="1" workbookViewId="0">
      <selection activeCell="K39" sqref="K39"/>
    </sheetView>
  </sheetViews>
  <sheetFormatPr defaultColWidth="9" defaultRowHeight="11.25"/>
  <cols>
    <col min="1" max="1" width="10.775" style="2" customWidth="1"/>
    <col min="2" max="2" width="16.3333333333333" style="3" customWidth="1"/>
    <col min="3" max="3" width="6" style="4" customWidth="1"/>
    <col min="4" max="4" width="13.3333333333333" style="4" customWidth="1"/>
    <col min="5" max="5" width="6" style="4" customWidth="1"/>
    <col min="6" max="6" width="13.1083333333333" style="3" customWidth="1"/>
    <col min="7" max="7" width="14.1083333333333" style="3" customWidth="1"/>
    <col min="8" max="8" width="9.66666666666667" style="4" customWidth="1"/>
    <col min="9" max="9" width="13.8833333333333" style="3" customWidth="1"/>
    <col min="10" max="10" width="6.10833333333333" style="5" customWidth="1"/>
    <col min="11" max="11" width="39.775" style="6" customWidth="1"/>
    <col min="12" max="12" width="24.6666666666667" style="6" customWidth="1"/>
    <col min="13" max="13" width="7.66666666666667" style="7" customWidth="1"/>
    <col min="14" max="14" width="5.66666666666667" style="7" customWidth="1"/>
    <col min="15" max="15" width="9" style="7"/>
    <col min="16" max="16" width="14.6666666666667" style="7" customWidth="1"/>
    <col min="17" max="16384" width="9" style="7"/>
  </cols>
  <sheetData>
    <row r="1" ht="21.9" customHeight="1" spans="1:12">
      <c r="A1" s="8" t="s">
        <v>0</v>
      </c>
      <c r="B1" s="8"/>
      <c r="C1" s="8"/>
      <c r="D1" s="8"/>
      <c r="E1" s="8"/>
      <c r="F1" s="9"/>
      <c r="G1" s="9"/>
      <c r="H1" s="8"/>
      <c r="I1" s="9"/>
      <c r="J1" s="8"/>
      <c r="K1" s="62"/>
      <c r="L1" s="62"/>
    </row>
    <row r="2" ht="18" customHeight="1" spans="1:12">
      <c r="A2" s="10" t="s">
        <v>1</v>
      </c>
      <c r="B2" s="11" t="s">
        <v>2</v>
      </c>
      <c r="C2" s="12"/>
      <c r="D2" s="13">
        <v>1445624.74</v>
      </c>
      <c r="E2" s="14"/>
      <c r="F2" s="15" t="s">
        <v>3</v>
      </c>
      <c r="G2" s="16"/>
      <c r="H2" s="17" t="s">
        <v>4</v>
      </c>
      <c r="I2" s="63"/>
      <c r="J2" s="64"/>
      <c r="K2" s="65"/>
      <c r="L2" s="62"/>
    </row>
    <row r="3" ht="18" customHeight="1" spans="1:12">
      <c r="A3" s="10" t="s">
        <v>5</v>
      </c>
      <c r="B3" s="18"/>
      <c r="C3" s="12"/>
      <c r="D3" s="19">
        <v>1402888.18</v>
      </c>
      <c r="H3" s="20"/>
      <c r="I3" s="66"/>
      <c r="J3" s="20"/>
      <c r="K3" s="62"/>
      <c r="L3" s="62"/>
    </row>
    <row r="4" ht="18" customHeight="1" spans="1:12">
      <c r="A4" s="2" t="s">
        <v>6</v>
      </c>
      <c r="H4" s="20"/>
      <c r="I4" s="66"/>
      <c r="J4" s="20"/>
      <c r="K4" s="62"/>
      <c r="L4" s="62"/>
    </row>
    <row r="5" ht="18" customHeight="1" spans="1:10">
      <c r="A5" s="21" t="s">
        <v>7</v>
      </c>
      <c r="B5" s="22" t="s">
        <v>8</v>
      </c>
      <c r="C5" s="21" t="s">
        <v>9</v>
      </c>
      <c r="D5" s="21"/>
      <c r="E5" s="21" t="s">
        <v>10</v>
      </c>
      <c r="F5" s="22"/>
      <c r="G5" s="22" t="s">
        <v>11</v>
      </c>
      <c r="H5" s="23" t="s">
        <v>12</v>
      </c>
      <c r="I5" s="22"/>
      <c r="J5" s="23"/>
    </row>
    <row r="6" ht="18" customHeight="1" spans="1:10">
      <c r="A6" s="21"/>
      <c r="B6" s="22"/>
      <c r="C6" s="21" t="s">
        <v>13</v>
      </c>
      <c r="D6" s="21" t="s">
        <v>14</v>
      </c>
      <c r="E6" s="21" t="s">
        <v>13</v>
      </c>
      <c r="F6" s="22" t="s">
        <v>14</v>
      </c>
      <c r="G6" s="22"/>
      <c r="H6" s="23" t="s">
        <v>15</v>
      </c>
      <c r="I6" s="22" t="s">
        <v>16</v>
      </c>
      <c r="J6" s="23" t="s">
        <v>17</v>
      </c>
    </row>
    <row r="7" ht="18" customHeight="1" spans="1:10">
      <c r="A7" s="24">
        <v>42754</v>
      </c>
      <c r="B7" s="12">
        <f t="shared" ref="B7:B10" si="0">G7/(1+C7+E7)</f>
        <v>295045.045045045</v>
      </c>
      <c r="C7" s="25">
        <v>0</v>
      </c>
      <c r="D7" s="26">
        <f t="shared" ref="D7:D10" si="1">G7/(1+E7+C7)*C7</f>
        <v>0</v>
      </c>
      <c r="E7" s="25">
        <v>0.11</v>
      </c>
      <c r="F7" s="12">
        <f t="shared" ref="F7:F10" si="2">G7/(1+C7+E7)*E7</f>
        <v>32454.954954955</v>
      </c>
      <c r="G7" s="27">
        <v>327500</v>
      </c>
      <c r="H7" s="24">
        <v>42757</v>
      </c>
      <c r="I7" s="12">
        <v>327500</v>
      </c>
      <c r="J7" s="67" t="s">
        <v>18</v>
      </c>
    </row>
    <row r="8" ht="18" customHeight="1" spans="1:10">
      <c r="A8" s="24">
        <v>42984</v>
      </c>
      <c r="B8" s="12">
        <f t="shared" si="0"/>
        <v>422621</v>
      </c>
      <c r="C8" s="25">
        <v>0</v>
      </c>
      <c r="D8" s="26">
        <f t="shared" si="1"/>
        <v>0</v>
      </c>
      <c r="E8" s="25">
        <v>0.11</v>
      </c>
      <c r="F8" s="12">
        <f t="shared" si="2"/>
        <v>46488.31</v>
      </c>
      <c r="G8" s="27">
        <v>469109.31</v>
      </c>
      <c r="H8" s="24">
        <v>43007</v>
      </c>
      <c r="I8" s="12">
        <v>469109.31</v>
      </c>
      <c r="J8" s="67" t="s">
        <v>18</v>
      </c>
    </row>
    <row r="9" ht="18" customHeight="1" spans="1:10">
      <c r="A9" s="24">
        <v>43118</v>
      </c>
      <c r="B9" s="12">
        <f t="shared" si="0"/>
        <v>315315.315315315</v>
      </c>
      <c r="C9" s="25">
        <v>0</v>
      </c>
      <c r="D9" s="26">
        <f t="shared" si="1"/>
        <v>0</v>
      </c>
      <c r="E9" s="25">
        <v>0.11</v>
      </c>
      <c r="F9" s="12">
        <f t="shared" si="2"/>
        <v>34684.6846846847</v>
      </c>
      <c r="G9" s="27">
        <v>350000</v>
      </c>
      <c r="H9" s="24">
        <v>43124</v>
      </c>
      <c r="I9" s="12">
        <v>350000</v>
      </c>
      <c r="J9" s="67" t="s">
        <v>18</v>
      </c>
    </row>
    <row r="10" ht="18" customHeight="1" spans="1:10">
      <c r="A10" s="24">
        <v>44433</v>
      </c>
      <c r="B10" s="12">
        <f t="shared" si="0"/>
        <v>235118.229357798</v>
      </c>
      <c r="C10" s="25">
        <v>0</v>
      </c>
      <c r="D10" s="26">
        <f t="shared" si="1"/>
        <v>0</v>
      </c>
      <c r="E10" s="25">
        <v>0.09</v>
      </c>
      <c r="F10" s="12">
        <f t="shared" si="2"/>
        <v>21160.6406422018</v>
      </c>
      <c r="G10" s="27">
        <v>256278.87</v>
      </c>
      <c r="H10" s="24">
        <v>44435</v>
      </c>
      <c r="I10" s="12">
        <v>256278.87</v>
      </c>
      <c r="J10" s="67" t="s">
        <v>19</v>
      </c>
    </row>
    <row r="11" ht="18" customHeight="1" spans="1:10">
      <c r="A11" s="24"/>
      <c r="B11" s="12"/>
      <c r="C11" s="25"/>
      <c r="D11" s="26"/>
      <c r="E11" s="25"/>
      <c r="F11" s="12"/>
      <c r="G11" s="27"/>
      <c r="H11" s="24"/>
      <c r="I11" s="12"/>
      <c r="J11" s="67"/>
    </row>
    <row r="12" ht="18" customHeight="1" spans="1:10">
      <c r="A12" s="24"/>
      <c r="B12" s="12"/>
      <c r="C12" s="25"/>
      <c r="D12" s="26"/>
      <c r="E12" s="25"/>
      <c r="F12" s="12"/>
      <c r="G12" s="27"/>
      <c r="H12" s="24"/>
      <c r="I12" s="12"/>
      <c r="J12" s="67"/>
    </row>
    <row r="13" ht="18" customHeight="1" spans="1:10">
      <c r="A13" s="28" t="s">
        <v>20</v>
      </c>
      <c r="B13" s="29">
        <f>SUM(B7:B12)</f>
        <v>1268099.58971816</v>
      </c>
      <c r="C13" s="30"/>
      <c r="D13" s="30">
        <f>SUM(D7:D12)</f>
        <v>0</v>
      </c>
      <c r="E13" s="30"/>
      <c r="F13" s="31">
        <f>SUM(F7:F12)</f>
        <v>134788.590281841</v>
      </c>
      <c r="G13" s="30">
        <f>SUM(G7:G12)</f>
        <v>1402888.18</v>
      </c>
      <c r="H13" s="32"/>
      <c r="I13" s="30">
        <f>SUM(I7:I12)</f>
        <v>1402888.18</v>
      </c>
      <c r="J13" s="32"/>
    </row>
    <row r="14" ht="18" customHeight="1" spans="1:12">
      <c r="A14" s="2" t="s">
        <v>21</v>
      </c>
      <c r="J14" s="4"/>
      <c r="K14" s="68"/>
      <c r="L14" s="69"/>
    </row>
    <row r="15" ht="18" customHeight="1" spans="1:15">
      <c r="A15" s="33" t="s">
        <v>22</v>
      </c>
      <c r="B15" s="22" t="s">
        <v>23</v>
      </c>
      <c r="C15" s="21" t="s">
        <v>24</v>
      </c>
      <c r="D15" s="21" t="s">
        <v>25</v>
      </c>
      <c r="E15" s="21" t="s">
        <v>13</v>
      </c>
      <c r="F15" s="22" t="s">
        <v>26</v>
      </c>
      <c r="G15" s="22" t="s">
        <v>11</v>
      </c>
      <c r="H15" s="21" t="s">
        <v>27</v>
      </c>
      <c r="I15" s="22" t="s">
        <v>28</v>
      </c>
      <c r="J15" s="21" t="s">
        <v>17</v>
      </c>
      <c r="K15" s="70" t="s">
        <v>29</v>
      </c>
      <c r="L15" s="71" t="s">
        <v>30</v>
      </c>
      <c r="M15" s="23" t="s">
        <v>31</v>
      </c>
      <c r="N15" s="23" t="s">
        <v>32</v>
      </c>
      <c r="O15" s="23" t="s">
        <v>33</v>
      </c>
    </row>
    <row r="16" s="1" customFormat="1" ht="18" customHeight="1" spans="1:17">
      <c r="A16" s="34"/>
      <c r="B16" s="35">
        <f t="shared" ref="B16:B29" si="3">ROUND(G16/(1+E16),2)</f>
        <v>0</v>
      </c>
      <c r="C16" s="36"/>
      <c r="D16" s="37"/>
      <c r="E16" s="38"/>
      <c r="F16" s="35">
        <f t="shared" ref="F16:F24" si="4">ROUND(G16/(1+E16)*E16,2)</f>
        <v>0</v>
      </c>
      <c r="G16" s="39"/>
      <c r="H16" s="24" t="s">
        <v>34</v>
      </c>
      <c r="I16" s="35">
        <v>282974.27</v>
      </c>
      <c r="J16" s="67" t="s">
        <v>35</v>
      </c>
      <c r="K16" s="72" t="s">
        <v>36</v>
      </c>
      <c r="L16" s="73"/>
      <c r="M16" s="74"/>
      <c r="N16" s="74"/>
      <c r="O16" s="75" t="s">
        <v>37</v>
      </c>
      <c r="Q16" s="89"/>
    </row>
    <row r="17" s="1" customFormat="1" ht="18" customHeight="1" spans="1:17">
      <c r="A17" s="34"/>
      <c r="B17" s="35">
        <f t="shared" si="3"/>
        <v>0</v>
      </c>
      <c r="C17" s="36"/>
      <c r="D17" s="37"/>
      <c r="E17" s="38"/>
      <c r="F17" s="35">
        <f t="shared" si="4"/>
        <v>0</v>
      </c>
      <c r="G17" s="39"/>
      <c r="H17" s="24" t="s">
        <v>38</v>
      </c>
      <c r="I17" s="35">
        <v>408195.67</v>
      </c>
      <c r="J17" s="67" t="s">
        <v>35</v>
      </c>
      <c r="K17" s="72" t="s">
        <v>36</v>
      </c>
      <c r="L17" s="73"/>
      <c r="M17" s="74"/>
      <c r="N17" s="74"/>
      <c r="O17" s="75" t="s">
        <v>37</v>
      </c>
      <c r="Q17" s="89"/>
    </row>
    <row r="18" s="1" customFormat="1" ht="18" customHeight="1" spans="1:17">
      <c r="A18" s="34"/>
      <c r="B18" s="35">
        <f t="shared" si="3"/>
        <v>0</v>
      </c>
      <c r="C18" s="36"/>
      <c r="D18" s="37"/>
      <c r="E18" s="38"/>
      <c r="F18" s="35">
        <f t="shared" si="4"/>
        <v>0</v>
      </c>
      <c r="G18" s="39"/>
      <c r="H18" s="24" t="s">
        <v>39</v>
      </c>
      <c r="I18" s="35">
        <v>302552.66</v>
      </c>
      <c r="J18" s="67" t="s">
        <v>35</v>
      </c>
      <c r="K18" s="72" t="s">
        <v>36</v>
      </c>
      <c r="L18" s="73"/>
      <c r="M18" s="74"/>
      <c r="N18" s="74"/>
      <c r="O18" s="75" t="s">
        <v>37</v>
      </c>
      <c r="Q18" s="89"/>
    </row>
    <row r="19" s="1" customFormat="1" ht="18" customHeight="1" spans="1:17">
      <c r="A19" s="34"/>
      <c r="B19" s="35">
        <f t="shared" si="3"/>
        <v>230000</v>
      </c>
      <c r="C19" s="36"/>
      <c r="D19" s="37" t="s">
        <v>40</v>
      </c>
      <c r="E19" s="38"/>
      <c r="F19" s="35">
        <f t="shared" si="4"/>
        <v>0</v>
      </c>
      <c r="G19" s="39">
        <v>230000</v>
      </c>
      <c r="H19" s="24"/>
      <c r="I19" s="35"/>
      <c r="J19" s="67"/>
      <c r="K19" s="72" t="s">
        <v>36</v>
      </c>
      <c r="L19" s="73" t="s">
        <v>41</v>
      </c>
      <c r="M19" s="74"/>
      <c r="N19" s="74"/>
      <c r="O19" s="75" t="s">
        <v>37</v>
      </c>
      <c r="Q19" s="89"/>
    </row>
    <row r="20" s="1" customFormat="1" ht="18" customHeight="1" spans="1:17">
      <c r="A20" s="34"/>
      <c r="B20" s="35">
        <f t="shared" si="3"/>
        <v>131400</v>
      </c>
      <c r="C20" s="36"/>
      <c r="D20" s="37" t="s">
        <v>40</v>
      </c>
      <c r="E20" s="38"/>
      <c r="F20" s="35">
        <f t="shared" si="4"/>
        <v>0</v>
      </c>
      <c r="G20" s="39">
        <v>131400</v>
      </c>
      <c r="H20" s="24"/>
      <c r="I20" s="35"/>
      <c r="J20" s="67"/>
      <c r="K20" s="72" t="s">
        <v>36</v>
      </c>
      <c r="L20" s="73" t="s">
        <v>42</v>
      </c>
      <c r="M20" s="74"/>
      <c r="N20" s="74"/>
      <c r="O20" s="75" t="s">
        <v>37</v>
      </c>
      <c r="Q20" s="89"/>
    </row>
    <row r="21" s="1" customFormat="1" ht="18" customHeight="1" spans="1:17">
      <c r="A21" s="34"/>
      <c r="B21" s="35">
        <f t="shared" si="3"/>
        <v>337710</v>
      </c>
      <c r="C21" s="36"/>
      <c r="D21" s="37" t="s">
        <v>40</v>
      </c>
      <c r="E21" s="38"/>
      <c r="F21" s="35">
        <f t="shared" si="4"/>
        <v>0</v>
      </c>
      <c r="G21" s="39">
        <v>337710</v>
      </c>
      <c r="H21" s="24"/>
      <c r="I21" s="35"/>
      <c r="J21" s="67"/>
      <c r="K21" s="72" t="s">
        <v>36</v>
      </c>
      <c r="L21" s="73" t="s">
        <v>43</v>
      </c>
      <c r="M21" s="74"/>
      <c r="N21" s="74"/>
      <c r="O21" s="75" t="s">
        <v>37</v>
      </c>
      <c r="Q21" s="89"/>
    </row>
    <row r="22" s="1" customFormat="1" ht="18" customHeight="1" spans="1:17">
      <c r="A22" s="34"/>
      <c r="B22" s="35">
        <f t="shared" si="3"/>
        <v>90000</v>
      </c>
      <c r="C22" s="36"/>
      <c r="D22" s="37" t="s">
        <v>40</v>
      </c>
      <c r="E22" s="38"/>
      <c r="F22" s="35">
        <f t="shared" si="4"/>
        <v>0</v>
      </c>
      <c r="G22" s="39">
        <v>90000</v>
      </c>
      <c r="H22" s="24"/>
      <c r="I22" s="35"/>
      <c r="J22" s="67"/>
      <c r="K22" s="72" t="s">
        <v>36</v>
      </c>
      <c r="L22" s="73" t="s">
        <v>41</v>
      </c>
      <c r="M22" s="74"/>
      <c r="N22" s="74"/>
      <c r="O22" s="75" t="s">
        <v>37</v>
      </c>
      <c r="Q22" s="89"/>
    </row>
    <row r="23" s="1" customFormat="1" ht="18" customHeight="1" spans="1:17">
      <c r="A23" s="34"/>
      <c r="B23" s="35">
        <f t="shared" si="3"/>
        <v>80000</v>
      </c>
      <c r="C23" s="36"/>
      <c r="D23" s="37" t="s">
        <v>40</v>
      </c>
      <c r="E23" s="38"/>
      <c r="F23" s="35">
        <f t="shared" si="4"/>
        <v>0</v>
      </c>
      <c r="G23" s="39">
        <v>80000</v>
      </c>
      <c r="H23" s="24"/>
      <c r="I23" s="35"/>
      <c r="J23" s="67"/>
      <c r="K23" s="72" t="s">
        <v>36</v>
      </c>
      <c r="L23" s="73" t="s">
        <v>41</v>
      </c>
      <c r="M23" s="74"/>
      <c r="N23" s="74"/>
      <c r="O23" s="75" t="s">
        <v>37</v>
      </c>
      <c r="Q23" s="89"/>
    </row>
    <row r="24" s="1" customFormat="1" ht="18" customHeight="1" spans="1:17">
      <c r="A24" s="34"/>
      <c r="B24" s="35">
        <f t="shared" si="3"/>
        <v>80000</v>
      </c>
      <c r="C24" s="36"/>
      <c r="D24" s="37" t="s">
        <v>40</v>
      </c>
      <c r="E24" s="38"/>
      <c r="F24" s="35">
        <f t="shared" si="4"/>
        <v>0</v>
      </c>
      <c r="G24" s="39">
        <v>80000</v>
      </c>
      <c r="H24" s="24"/>
      <c r="I24" s="35"/>
      <c r="J24" s="67"/>
      <c r="K24" s="72" t="s">
        <v>36</v>
      </c>
      <c r="L24" s="73" t="s">
        <v>41</v>
      </c>
      <c r="M24" s="74"/>
      <c r="N24" s="74"/>
      <c r="O24" s="75" t="s">
        <v>37</v>
      </c>
      <c r="Q24" s="89"/>
    </row>
    <row r="25" s="1" customFormat="1" ht="18" customHeight="1" spans="1:17">
      <c r="A25" s="40">
        <v>44440</v>
      </c>
      <c r="B25" s="41">
        <f t="shared" si="3"/>
        <v>253000</v>
      </c>
      <c r="C25" s="42" t="s">
        <v>44</v>
      </c>
      <c r="D25" s="43" t="s">
        <v>45</v>
      </c>
      <c r="E25" s="44"/>
      <c r="F25" s="41">
        <f t="shared" ref="F25:F30" si="5">ROUND(G25/(1+E25)*E25,2)</f>
        <v>0</v>
      </c>
      <c r="G25" s="45">
        <f>100000+100000+53000</f>
        <v>253000</v>
      </c>
      <c r="H25" s="46"/>
      <c r="I25" s="41"/>
      <c r="J25" s="76"/>
      <c r="K25" s="77" t="s">
        <v>46</v>
      </c>
      <c r="L25" s="78" t="s">
        <v>47</v>
      </c>
      <c r="M25" s="74"/>
      <c r="N25" s="74"/>
      <c r="O25" s="79"/>
      <c r="Q25" s="89"/>
    </row>
    <row r="26" s="1" customFormat="1" ht="18" customHeight="1" spans="1:17">
      <c r="A26" s="34"/>
      <c r="B26" s="35">
        <f t="shared" si="3"/>
        <v>0</v>
      </c>
      <c r="C26" s="36"/>
      <c r="D26" s="37"/>
      <c r="E26" s="38"/>
      <c r="F26" s="35">
        <f t="shared" si="5"/>
        <v>0</v>
      </c>
      <c r="G26" s="39"/>
      <c r="H26" s="24"/>
      <c r="I26" s="35"/>
      <c r="J26" s="67"/>
      <c r="K26" s="72"/>
      <c r="L26" s="73"/>
      <c r="M26" s="74"/>
      <c r="N26" s="74"/>
      <c r="O26" s="75"/>
      <c r="Q26" s="89"/>
    </row>
    <row r="27" s="1" customFormat="1" ht="18" customHeight="1" spans="1:17">
      <c r="A27" s="34"/>
      <c r="B27" s="35">
        <f t="shared" si="3"/>
        <v>0</v>
      </c>
      <c r="C27" s="36"/>
      <c r="D27" s="37"/>
      <c r="E27" s="38"/>
      <c r="F27" s="35">
        <f t="shared" si="5"/>
        <v>0</v>
      </c>
      <c r="G27" s="39"/>
      <c r="H27" s="24"/>
      <c r="I27" s="35"/>
      <c r="J27" s="67"/>
      <c r="K27" s="72"/>
      <c r="L27" s="73"/>
      <c r="M27" s="74"/>
      <c r="N27" s="74"/>
      <c r="O27" s="75"/>
      <c r="Q27" s="89"/>
    </row>
    <row r="28" s="1" customFormat="1" ht="18" customHeight="1" spans="1:17">
      <c r="A28" s="34"/>
      <c r="B28" s="35">
        <f t="shared" si="3"/>
        <v>0</v>
      </c>
      <c r="C28" s="36"/>
      <c r="D28" s="37"/>
      <c r="E28" s="38"/>
      <c r="F28" s="35">
        <f t="shared" si="5"/>
        <v>0</v>
      </c>
      <c r="G28" s="39"/>
      <c r="H28" s="24"/>
      <c r="I28" s="35"/>
      <c r="J28" s="67"/>
      <c r="K28" s="72"/>
      <c r="L28" s="73"/>
      <c r="M28" s="74"/>
      <c r="N28" s="74"/>
      <c r="O28" s="75"/>
      <c r="Q28" s="89"/>
    </row>
    <row r="29" s="1" customFormat="1" ht="18" customHeight="1" spans="1:17">
      <c r="A29" s="34"/>
      <c r="B29" s="35">
        <f t="shared" si="3"/>
        <v>0</v>
      </c>
      <c r="C29" s="36"/>
      <c r="D29" s="37"/>
      <c r="E29" s="38"/>
      <c r="F29" s="35">
        <f t="shared" si="5"/>
        <v>0</v>
      </c>
      <c r="G29" s="39"/>
      <c r="H29" s="24"/>
      <c r="I29" s="35"/>
      <c r="J29" s="67"/>
      <c r="K29" s="72"/>
      <c r="L29" s="73"/>
      <c r="M29" s="74"/>
      <c r="N29" s="74"/>
      <c r="O29" s="75"/>
      <c r="Q29" s="89"/>
    </row>
    <row r="30" s="1" customFormat="1" ht="18" customHeight="1" spans="1:17">
      <c r="A30" s="34"/>
      <c r="B30" s="35">
        <f t="shared" ref="B30:B41" si="6">ROUND(G30/(1+E30),2)</f>
        <v>0</v>
      </c>
      <c r="C30" s="36"/>
      <c r="D30" s="37"/>
      <c r="E30" s="38"/>
      <c r="F30" s="35">
        <f t="shared" si="5"/>
        <v>0</v>
      </c>
      <c r="G30" s="39"/>
      <c r="H30" s="24"/>
      <c r="I30" s="35"/>
      <c r="J30" s="67"/>
      <c r="K30" s="72"/>
      <c r="L30" s="73"/>
      <c r="M30" s="74"/>
      <c r="N30" s="74"/>
      <c r="O30" s="75"/>
      <c r="Q30" s="89"/>
    </row>
    <row r="31" s="1" customFormat="1" ht="18" customHeight="1" spans="1:17">
      <c r="A31" s="34"/>
      <c r="B31" s="35">
        <f t="shared" si="6"/>
        <v>0</v>
      </c>
      <c r="C31" s="36"/>
      <c r="D31" s="37"/>
      <c r="E31" s="38"/>
      <c r="F31" s="35">
        <f t="shared" ref="F30:F41" si="7">ROUND(G31/(1+E31)*E31,2)</f>
        <v>0</v>
      </c>
      <c r="G31" s="39"/>
      <c r="H31" s="24" t="s">
        <v>48</v>
      </c>
      <c r="I31" s="35">
        <v>2000</v>
      </c>
      <c r="J31" s="67" t="s">
        <v>49</v>
      </c>
      <c r="K31" s="72" t="s">
        <v>50</v>
      </c>
      <c r="L31" s="73"/>
      <c r="M31" s="74"/>
      <c r="N31" s="74"/>
      <c r="O31" s="75"/>
      <c r="Q31" s="89"/>
    </row>
    <row r="32" s="1" customFormat="1" ht="18" customHeight="1" spans="1:17">
      <c r="A32" s="34"/>
      <c r="B32" s="35">
        <f t="shared" si="6"/>
        <v>0</v>
      </c>
      <c r="C32" s="36"/>
      <c r="D32" s="37"/>
      <c r="E32" s="38"/>
      <c r="F32" s="35">
        <f t="shared" si="7"/>
        <v>0</v>
      </c>
      <c r="G32" s="39"/>
      <c r="H32" s="24" t="s">
        <v>48</v>
      </c>
      <c r="I32" s="35">
        <v>294.19</v>
      </c>
      <c r="J32" s="67" t="s">
        <v>49</v>
      </c>
      <c r="K32" s="80" t="s">
        <v>51</v>
      </c>
      <c r="L32" s="73"/>
      <c r="M32" s="74"/>
      <c r="N32" s="74"/>
      <c r="O32" s="75"/>
      <c r="Q32" s="89"/>
    </row>
    <row r="33" s="1" customFormat="1" ht="18" customHeight="1" spans="1:17">
      <c r="A33" s="34"/>
      <c r="B33" s="35">
        <f t="shared" si="6"/>
        <v>0</v>
      </c>
      <c r="C33" s="36"/>
      <c r="D33" s="37"/>
      <c r="E33" s="38"/>
      <c r="F33" s="35">
        <f t="shared" si="7"/>
        <v>0</v>
      </c>
      <c r="G33" s="39"/>
      <c r="H33" s="24" t="s">
        <v>48</v>
      </c>
      <c r="I33" s="35">
        <v>38153.15</v>
      </c>
      <c r="J33" s="67" t="s">
        <v>49</v>
      </c>
      <c r="K33" s="72" t="s">
        <v>52</v>
      </c>
      <c r="L33" s="73"/>
      <c r="M33" s="74"/>
      <c r="N33" s="74"/>
      <c r="O33" s="75"/>
      <c r="Q33" s="89"/>
    </row>
    <row r="34" s="1" customFormat="1" ht="18" customHeight="1" spans="1:17">
      <c r="A34" s="34"/>
      <c r="B34" s="35">
        <f t="shared" si="6"/>
        <v>7000</v>
      </c>
      <c r="C34" s="36"/>
      <c r="D34" s="37"/>
      <c r="E34" s="38"/>
      <c r="F34" s="35">
        <f t="shared" si="7"/>
        <v>0</v>
      </c>
      <c r="G34" s="39">
        <v>7000</v>
      </c>
      <c r="H34" s="24" t="s">
        <v>48</v>
      </c>
      <c r="I34" s="35">
        <v>7000</v>
      </c>
      <c r="J34" s="67" t="s">
        <v>49</v>
      </c>
      <c r="K34" s="72" t="s">
        <v>53</v>
      </c>
      <c r="L34" s="73"/>
      <c r="M34" s="74"/>
      <c r="N34" s="74"/>
      <c r="O34" s="75"/>
      <c r="Q34" s="89"/>
    </row>
    <row r="35" s="1" customFormat="1" ht="18" customHeight="1" spans="1:17">
      <c r="A35" s="34"/>
      <c r="B35" s="35">
        <f t="shared" si="6"/>
        <v>0</v>
      </c>
      <c r="C35" s="36"/>
      <c r="D35" s="37"/>
      <c r="E35" s="38"/>
      <c r="F35" s="35">
        <f t="shared" si="7"/>
        <v>0</v>
      </c>
      <c r="G35" s="39"/>
      <c r="H35" s="24" t="s">
        <v>54</v>
      </c>
      <c r="I35" s="35">
        <v>394.31</v>
      </c>
      <c r="J35" s="67" t="s">
        <v>49</v>
      </c>
      <c r="K35" s="80" t="s">
        <v>51</v>
      </c>
      <c r="L35" s="73"/>
      <c r="M35" s="74"/>
      <c r="N35" s="74"/>
      <c r="O35" s="75"/>
      <c r="Q35" s="89"/>
    </row>
    <row r="36" s="1" customFormat="1" ht="18" customHeight="1" spans="1:17">
      <c r="A36" s="34"/>
      <c r="B36" s="35">
        <f t="shared" si="6"/>
        <v>0</v>
      </c>
      <c r="C36" s="36"/>
      <c r="D36" s="37"/>
      <c r="E36" s="38"/>
      <c r="F36" s="35">
        <f t="shared" si="7"/>
        <v>0</v>
      </c>
      <c r="G36" s="39"/>
      <c r="H36" s="24" t="s">
        <v>54</v>
      </c>
      <c r="I36" s="35">
        <v>51531.45</v>
      </c>
      <c r="J36" s="67" t="s">
        <v>49</v>
      </c>
      <c r="K36" s="72" t="s">
        <v>52</v>
      </c>
      <c r="L36" s="73"/>
      <c r="M36" s="74"/>
      <c r="N36" s="74"/>
      <c r="O36" s="75"/>
      <c r="Q36" s="89"/>
    </row>
    <row r="37" s="1" customFormat="1" ht="18" customHeight="1" spans="1:15">
      <c r="A37" s="34"/>
      <c r="B37" s="35">
        <f t="shared" si="6"/>
        <v>9382.19</v>
      </c>
      <c r="C37" s="36"/>
      <c r="D37" s="37"/>
      <c r="E37" s="38"/>
      <c r="F37" s="35">
        <f t="shared" si="7"/>
        <v>0</v>
      </c>
      <c r="G37" s="39">
        <v>9382.19</v>
      </c>
      <c r="H37" s="24" t="s">
        <v>54</v>
      </c>
      <c r="I37" s="12">
        <v>9382.19</v>
      </c>
      <c r="J37" s="67" t="s">
        <v>49</v>
      </c>
      <c r="K37" s="72" t="s">
        <v>53</v>
      </c>
      <c r="L37" s="73"/>
      <c r="M37" s="74"/>
      <c r="N37" s="74"/>
      <c r="O37" s="75"/>
    </row>
    <row r="38" s="1" customFormat="1" ht="18" customHeight="1" spans="1:15">
      <c r="A38" s="34"/>
      <c r="B38" s="35">
        <f t="shared" si="6"/>
        <v>0</v>
      </c>
      <c r="C38" s="36"/>
      <c r="D38" s="37"/>
      <c r="E38" s="38"/>
      <c r="F38" s="35">
        <f t="shared" si="7"/>
        <v>0</v>
      </c>
      <c r="G38" s="39"/>
      <c r="H38" s="24" t="s">
        <v>55</v>
      </c>
      <c r="I38" s="12">
        <v>275.28</v>
      </c>
      <c r="J38" s="67" t="s">
        <v>49</v>
      </c>
      <c r="K38" s="80" t="s">
        <v>51</v>
      </c>
      <c r="L38" s="73"/>
      <c r="M38" s="74"/>
      <c r="N38" s="74"/>
      <c r="O38" s="75"/>
    </row>
    <row r="39" s="1" customFormat="1" ht="18" customHeight="1" spans="1:15">
      <c r="A39" s="34"/>
      <c r="B39" s="35">
        <f t="shared" si="6"/>
        <v>0</v>
      </c>
      <c r="C39" s="36"/>
      <c r="D39" s="37"/>
      <c r="E39" s="38"/>
      <c r="F39" s="35">
        <f t="shared" si="7"/>
        <v>0</v>
      </c>
      <c r="G39" s="39"/>
      <c r="H39" s="24" t="s">
        <v>55</v>
      </c>
      <c r="I39" s="12">
        <v>35700.45</v>
      </c>
      <c r="J39" s="67" t="s">
        <v>49</v>
      </c>
      <c r="K39" s="72" t="s">
        <v>52</v>
      </c>
      <c r="L39" s="73"/>
      <c r="M39" s="74"/>
      <c r="N39" s="74"/>
      <c r="O39" s="75"/>
    </row>
    <row r="40" s="1" customFormat="1" ht="21" customHeight="1" spans="1:15">
      <c r="A40" s="34"/>
      <c r="B40" s="35">
        <f t="shared" si="6"/>
        <v>0</v>
      </c>
      <c r="C40" s="36"/>
      <c r="D40" s="37"/>
      <c r="E40" s="38"/>
      <c r="F40" s="35">
        <f t="shared" si="7"/>
        <v>0</v>
      </c>
      <c r="G40" s="39"/>
      <c r="H40" s="24" t="s">
        <v>55</v>
      </c>
      <c r="I40" s="12">
        <v>2000</v>
      </c>
      <c r="J40" s="67" t="s">
        <v>49</v>
      </c>
      <c r="K40" s="72" t="s">
        <v>56</v>
      </c>
      <c r="L40" s="73"/>
      <c r="M40" s="74"/>
      <c r="N40" s="74"/>
      <c r="O40" s="75"/>
    </row>
    <row r="41" s="1" customFormat="1" ht="18" customHeight="1" spans="1:15">
      <c r="A41" s="34"/>
      <c r="B41" s="35">
        <f t="shared" si="6"/>
        <v>6550</v>
      </c>
      <c r="C41" s="36"/>
      <c r="D41" s="37"/>
      <c r="E41" s="38"/>
      <c r="F41" s="35">
        <f t="shared" si="7"/>
        <v>0</v>
      </c>
      <c r="G41" s="39">
        <v>6550</v>
      </c>
      <c r="H41" s="24" t="s">
        <v>55</v>
      </c>
      <c r="I41" s="12">
        <v>6550</v>
      </c>
      <c r="J41" s="67" t="s">
        <v>49</v>
      </c>
      <c r="K41" s="72" t="s">
        <v>53</v>
      </c>
      <c r="L41" s="73"/>
      <c r="M41" s="74"/>
      <c r="N41" s="74"/>
      <c r="O41" s="75"/>
    </row>
    <row r="42" s="1" customFormat="1" ht="18" customHeight="1" spans="1:15">
      <c r="A42" s="30" t="s">
        <v>20</v>
      </c>
      <c r="B42" s="29">
        <f>SUM(B16:B41)</f>
        <v>1225042.19</v>
      </c>
      <c r="C42" s="30"/>
      <c r="D42" s="47"/>
      <c r="E42" s="47"/>
      <c r="F42" s="31">
        <f>SUM(F16:F41)</f>
        <v>0</v>
      </c>
      <c r="G42" s="48">
        <f>SUM(G16:G41)</f>
        <v>1225042.19</v>
      </c>
      <c r="H42" s="49"/>
      <c r="I42" s="30">
        <f>SUM(I16:I41)</f>
        <v>1147003.62</v>
      </c>
      <c r="J42" s="81"/>
      <c r="K42" s="82"/>
      <c r="L42" s="83"/>
      <c r="M42" s="67"/>
      <c r="N42" s="67"/>
      <c r="O42" s="32"/>
    </row>
    <row r="43" s="1" customFormat="1" ht="18" customHeight="1" spans="1:15">
      <c r="A43" s="50" t="s">
        <v>57</v>
      </c>
      <c r="B43" s="50">
        <f>B13-B42</f>
        <v>43057.39971816</v>
      </c>
      <c r="C43" s="50"/>
      <c r="D43" s="51"/>
      <c r="E43" s="51"/>
      <c r="F43" s="52"/>
      <c r="G43" s="50">
        <f>G13-G42</f>
        <v>177845.99</v>
      </c>
      <c r="H43" s="23" t="s">
        <v>58</v>
      </c>
      <c r="I43" s="30">
        <f>I13-I42</f>
        <v>255884.56</v>
      </c>
      <c r="J43" s="7"/>
      <c r="K43" s="84"/>
      <c r="L43" s="6"/>
      <c r="M43" s="85"/>
      <c r="N43" s="85"/>
      <c r="O43" s="7"/>
    </row>
    <row r="44" s="1" customFormat="1" ht="18" customHeight="1" spans="1:15">
      <c r="A44" s="2" t="s">
        <v>59</v>
      </c>
      <c r="B44" s="3"/>
      <c r="C44" s="2"/>
      <c r="D44" s="4"/>
      <c r="E44" s="4"/>
      <c r="F44" s="3"/>
      <c r="G44" s="3"/>
      <c r="H44" s="4"/>
      <c r="I44" s="3"/>
      <c r="J44" s="5"/>
      <c r="K44" s="6"/>
      <c r="L44" s="6"/>
      <c r="M44" s="7"/>
      <c r="N44" s="7"/>
      <c r="O44" s="7"/>
    </row>
    <row r="45" s="1" customFormat="1" ht="18" customHeight="1" spans="1:15">
      <c r="A45" s="23" t="s">
        <v>60</v>
      </c>
      <c r="B45" s="22" t="s">
        <v>61</v>
      </c>
      <c r="C45" s="32"/>
      <c r="D45" s="23" t="s">
        <v>60</v>
      </c>
      <c r="E45" s="21" t="s">
        <v>13</v>
      </c>
      <c r="F45" s="22" t="s">
        <v>61</v>
      </c>
      <c r="G45" s="53" t="s">
        <v>62</v>
      </c>
      <c r="H45" s="54"/>
      <c r="I45" s="53" t="s">
        <v>63</v>
      </c>
      <c r="J45" s="5"/>
      <c r="K45" s="83" t="s">
        <v>64</v>
      </c>
      <c r="L45" s="83" t="s">
        <v>65</v>
      </c>
      <c r="M45" s="7"/>
      <c r="N45" s="7"/>
      <c r="O45" s="7"/>
    </row>
    <row r="46" s="1" customFormat="1" ht="18" customHeight="1" spans="1:15">
      <c r="A46" s="32" t="s">
        <v>66</v>
      </c>
      <c r="B46" s="35">
        <f>(B13-B42)*0.25</f>
        <v>10764.34992954</v>
      </c>
      <c r="C46" s="32"/>
      <c r="D46" s="28" t="s">
        <v>67</v>
      </c>
      <c r="E46" s="23" t="s">
        <v>68</v>
      </c>
      <c r="F46" s="31">
        <f>F13-F42</f>
        <v>134788.590281841</v>
      </c>
      <c r="G46" s="31">
        <f>F7</f>
        <v>32454.954954955</v>
      </c>
      <c r="H46" s="55"/>
      <c r="I46" s="31">
        <f>F8</f>
        <v>46488.31</v>
      </c>
      <c r="J46" s="5"/>
      <c r="K46" s="86">
        <f>F9</f>
        <v>34684.6846846847</v>
      </c>
      <c r="L46" s="86">
        <f>F10</f>
        <v>21160.6406422018</v>
      </c>
      <c r="M46" s="7"/>
      <c r="N46" s="7"/>
      <c r="O46" s="7"/>
    </row>
    <row r="47" s="1" customFormat="1" ht="18" customHeight="1" spans="1:15">
      <c r="A47" s="32" t="s">
        <v>69</v>
      </c>
      <c r="B47" s="56">
        <f>G7*0.0003</f>
        <v>98.25</v>
      </c>
      <c r="C47" s="32"/>
      <c r="D47" s="57" t="s">
        <v>70</v>
      </c>
      <c r="E47" s="14">
        <v>0.05</v>
      </c>
      <c r="F47" s="12">
        <f>F46*E47</f>
        <v>6739.42951409205</v>
      </c>
      <c r="G47" s="58">
        <f>G46*E47</f>
        <v>1622.74774774775</v>
      </c>
      <c r="H47" s="54"/>
      <c r="I47" s="58">
        <f>I46*E47</f>
        <v>2324.4155</v>
      </c>
      <c r="J47" s="5"/>
      <c r="K47" s="87">
        <f>K46*E47</f>
        <v>1734.23423423423</v>
      </c>
      <c r="L47" s="87">
        <f>L46*0.07</f>
        <v>1481.24484495413</v>
      </c>
      <c r="M47" s="7"/>
      <c r="N47" s="7"/>
      <c r="O47" s="7"/>
    </row>
    <row r="48" s="1" customFormat="1" ht="18" customHeight="1" spans="1:15">
      <c r="A48" s="32" t="s">
        <v>71</v>
      </c>
      <c r="B48" s="56">
        <f>B7*0.0006</f>
        <v>177.027027027027</v>
      </c>
      <c r="C48" s="32"/>
      <c r="D48" s="57" t="s">
        <v>72</v>
      </c>
      <c r="E48" s="14">
        <v>0.03</v>
      </c>
      <c r="F48" s="12">
        <f>F46*E48</f>
        <v>4043.65770845523</v>
      </c>
      <c r="G48" s="58">
        <f>G46*E48</f>
        <v>973.648648648649</v>
      </c>
      <c r="H48" s="54"/>
      <c r="I48" s="58">
        <f>I46*E48</f>
        <v>1394.6493</v>
      </c>
      <c r="J48" s="5"/>
      <c r="K48" s="87">
        <f>K46*E48</f>
        <v>1040.54054054054</v>
      </c>
      <c r="L48" s="87">
        <f>L46*E48</f>
        <v>634.819219266055</v>
      </c>
      <c r="M48" s="7"/>
      <c r="N48" s="7"/>
      <c r="O48" s="7"/>
    </row>
    <row r="49" s="1" customFormat="1" ht="18" customHeight="1" spans="1:15">
      <c r="A49" s="32"/>
      <c r="B49" s="12"/>
      <c r="C49" s="32"/>
      <c r="D49" s="57" t="s">
        <v>73</v>
      </c>
      <c r="E49" s="14">
        <v>0.02</v>
      </c>
      <c r="F49" s="12">
        <f>F46*E49</f>
        <v>2695.77180563682</v>
      </c>
      <c r="G49" s="58">
        <f>G46*E49</f>
        <v>649.099099099099</v>
      </c>
      <c r="H49" s="54"/>
      <c r="I49" s="58">
        <f>I46*E49</f>
        <v>929.7662</v>
      </c>
      <c r="J49" s="5"/>
      <c r="K49" s="87">
        <f>K46*E49</f>
        <v>693.693693693694</v>
      </c>
      <c r="L49" s="87">
        <f>L46*E49</f>
        <v>423.212812844037</v>
      </c>
      <c r="M49" s="7"/>
      <c r="N49" s="7"/>
      <c r="O49" s="7"/>
    </row>
    <row r="50" s="1" customFormat="1" ht="18" customHeight="1" spans="1:15">
      <c r="A50" s="28" t="s">
        <v>74</v>
      </c>
      <c r="B50" s="29">
        <f>SUM(B46:B49)</f>
        <v>11039.626956567</v>
      </c>
      <c r="C50" s="32"/>
      <c r="D50" s="33" t="s">
        <v>74</v>
      </c>
      <c r="E50" s="28"/>
      <c r="F50" s="31">
        <f>SUM(F46:F49)</f>
        <v>148267.449310025</v>
      </c>
      <c r="G50" s="31">
        <f>SUM(G46:G49)</f>
        <v>35700.4504504504</v>
      </c>
      <c r="H50" s="55"/>
      <c r="I50" s="31">
        <f>SUM(I46:I49)</f>
        <v>51137.141</v>
      </c>
      <c r="J50" s="5"/>
      <c r="K50" s="86">
        <f>SUM(K46:K49)</f>
        <v>38153.1531531531</v>
      </c>
      <c r="L50" s="86">
        <f>SUM(L46:L49)</f>
        <v>23699.9175192661</v>
      </c>
      <c r="M50" s="7"/>
      <c r="N50" s="7"/>
      <c r="O50" s="7"/>
    </row>
    <row r="51" s="1" customFormat="1" ht="18" customHeight="1" spans="1:15">
      <c r="A51" s="2"/>
      <c r="B51" s="3"/>
      <c r="C51" s="2"/>
      <c r="D51" s="12" t="s">
        <v>69</v>
      </c>
      <c r="E51" s="59">
        <v>0.0003</v>
      </c>
      <c r="F51" s="12">
        <f>G13*E51</f>
        <v>420.866454</v>
      </c>
      <c r="G51" s="60">
        <f>G7*E51</f>
        <v>98.25</v>
      </c>
      <c r="H51" s="4"/>
      <c r="I51" s="60">
        <f>G8*E51</f>
        <v>140.732793</v>
      </c>
      <c r="J51" s="5"/>
      <c r="K51" s="87">
        <f>G9*E51</f>
        <v>105</v>
      </c>
      <c r="L51" s="87">
        <f>G10*E51</f>
        <v>76.883661</v>
      </c>
      <c r="M51" s="7"/>
      <c r="N51" s="7"/>
      <c r="O51" s="7"/>
    </row>
    <row r="52" s="1" customFormat="1" ht="18" customHeight="1" spans="1:15">
      <c r="A52" s="2"/>
      <c r="B52" s="3"/>
      <c r="C52" s="2"/>
      <c r="D52" s="12" t="s">
        <v>71</v>
      </c>
      <c r="E52" s="59">
        <v>0.0006</v>
      </c>
      <c r="F52" s="12">
        <f>B13*E52</f>
        <v>760.859753830895</v>
      </c>
      <c r="G52" s="60">
        <f>B7*E52</f>
        <v>177.027027027027</v>
      </c>
      <c r="H52" s="4"/>
      <c r="I52" s="60">
        <f>B8*E52</f>
        <v>253.5726</v>
      </c>
      <c r="J52" s="5"/>
      <c r="K52" s="87">
        <f>B9*E52</f>
        <v>189.189189189189</v>
      </c>
      <c r="L52" s="87">
        <f>B10*E52</f>
        <v>141.070937614679</v>
      </c>
      <c r="M52" s="7"/>
      <c r="N52" s="7"/>
      <c r="O52" s="7"/>
    </row>
    <row r="53" s="1" customFormat="1" ht="18" customHeight="1" spans="1:15">
      <c r="A53" s="2"/>
      <c r="B53" s="3"/>
      <c r="C53" s="2"/>
      <c r="D53" s="21" t="s">
        <v>74</v>
      </c>
      <c r="E53" s="47"/>
      <c r="F53" s="30">
        <f>F52+F51</f>
        <v>1181.72620783089</v>
      </c>
      <c r="G53" s="61">
        <f>SUM(G51:G52)</f>
        <v>275.277027027027</v>
      </c>
      <c r="H53" s="4"/>
      <c r="I53" s="61">
        <f>SUM(I51:I52)</f>
        <v>394.305393</v>
      </c>
      <c r="J53" s="5"/>
      <c r="K53" s="88">
        <f>SUM(K51:K52)</f>
        <v>294.189189189189</v>
      </c>
      <c r="L53" s="88">
        <f>SUM(L51:L52)</f>
        <v>217.954598614679</v>
      </c>
      <c r="M53" s="7"/>
      <c r="N53" s="7"/>
      <c r="O53" s="7"/>
    </row>
    <row r="54" s="1" customFormat="1" ht="18" customHeight="1" spans="1:15">
      <c r="A54" s="2"/>
      <c r="B54" s="3"/>
      <c r="C54" s="2"/>
      <c r="D54" s="21" t="s">
        <v>20</v>
      </c>
      <c r="E54" s="30"/>
      <c r="F54" s="30">
        <f>F50+F53</f>
        <v>149449.175517856</v>
      </c>
      <c r="G54" s="61">
        <f>G50+G53</f>
        <v>35975.7274774775</v>
      </c>
      <c r="H54" s="4"/>
      <c r="I54" s="61">
        <f>I50+I53</f>
        <v>51531.446393</v>
      </c>
      <c r="J54" s="5"/>
      <c r="K54" s="88">
        <f>K50+K53</f>
        <v>38447.3423423423</v>
      </c>
      <c r="L54" s="88">
        <f>L50+L53</f>
        <v>23917.8721178807</v>
      </c>
      <c r="M54" s="7"/>
      <c r="N54" s="7"/>
      <c r="O54" s="7"/>
    </row>
    <row r="55" ht="18" customHeight="1" spans="3:3">
      <c r="C55" s="2"/>
    </row>
    <row r="56" ht="18" customHeight="1" spans="3:3">
      <c r="C56" s="2"/>
    </row>
    <row r="57" ht="18" customHeight="1" spans="3:3">
      <c r="C57" s="2"/>
    </row>
    <row r="58" ht="18" customHeight="1" spans="3:3">
      <c r="C58" s="2"/>
    </row>
    <row r="59" ht="18" customHeight="1" spans="3:3">
      <c r="C59" s="2"/>
    </row>
    <row r="60" ht="18" customHeight="1" spans="3:3">
      <c r="C60" s="2"/>
    </row>
    <row r="61" ht="18" customHeight="1" spans="3:3">
      <c r="C61" s="2"/>
    </row>
    <row r="62" ht="18" customHeight="1" spans="3:3">
      <c r="C62" s="2"/>
    </row>
    <row r="63" ht="18" customHeight="1" spans="3:3">
      <c r="C63" s="2"/>
    </row>
    <row r="64" ht="18" customHeight="1" spans="3:3">
      <c r="C64" s="2"/>
    </row>
    <row r="65" ht="18" customHeight="1" spans="3:3">
      <c r="C65" s="2"/>
    </row>
    <row r="66" ht="18" customHeight="1" spans="3:3">
      <c r="C66" s="2"/>
    </row>
    <row r="67" ht="18" customHeight="1" spans="3:3">
      <c r="C67" s="2"/>
    </row>
    <row r="68" ht="18" customHeight="1" spans="3:3">
      <c r="C68" s="2"/>
    </row>
    <row r="69" ht="18" customHeight="1" spans="3:3">
      <c r="C69" s="2"/>
    </row>
    <row r="70" ht="18" customHeight="1" spans="3:3">
      <c r="C70" s="2"/>
    </row>
    <row r="71" spans="3:3">
      <c r="C71" s="2"/>
    </row>
    <row r="72" spans="3:3">
      <c r="C72" s="2"/>
    </row>
  </sheetData>
  <autoFilter ref="A15:O54">
    <extLst/>
  </autoFilter>
  <mergeCells count="9">
    <mergeCell ref="A1:J1"/>
    <mergeCell ref="H2:J2"/>
    <mergeCell ref="C5:D5"/>
    <mergeCell ref="E5:F5"/>
    <mergeCell ref="H5:J5"/>
    <mergeCell ref="A5:A6"/>
    <mergeCell ref="B5:B6"/>
    <mergeCell ref="G5:G6"/>
    <mergeCell ref="Q16:Q32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金叶大道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2021-09-06T23:38:10Z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EEABF7D6EA0B427F8535CB1CA7EFB43B</vt:lpwstr>
  </property>
</Properties>
</file>