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新!$A$23:$Q$97</definedName>
    <definedName name="_xlnm._FilterDatabase" localSheetId="1" hidden="1">旧!$A$23:$Q$75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91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92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9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D9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71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2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<sst xmlns="http://schemas.openxmlformats.org/spreadsheetml/2006/main" count="432" uniqueCount="113">
  <si>
    <t>C3887  临泉县2016年乡村道路畅通工程建设项目（第二批）施工3标段</t>
  </si>
  <si>
    <t>中标日期</t>
  </si>
  <si>
    <t>中标价</t>
  </si>
  <si>
    <t>负责人</t>
  </si>
  <si>
    <t>常昊</t>
  </si>
  <si>
    <t>建设单位</t>
  </si>
  <si>
    <t>临泉县长官镇人民政府/临泉县宋集镇人民政府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</si>
  <si>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</si>
  <si>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</si>
  <si>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</si>
  <si>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</si>
  <si>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</si>
  <si>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</si>
  <si>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</si>
  <si>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</si>
  <si>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</si>
  <si>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</si>
  <si>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</si>
  <si>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</si>
  <si>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</si>
  <si>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</si>
  <si>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</si>
  <si>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</si>
  <si>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</si>
  <si>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</si>
  <si>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</si>
  <si>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</si>
  <si>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</si>
  <si>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</si>
  <si>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</si>
  <si>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</si>
  <si>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</si>
  <si>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</si>
  <si>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</si>
  <si>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</si>
  <si>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</si>
  <si>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田洪礼</t>
  </si>
  <si>
    <t>人工</t>
  </si>
  <si>
    <t>17-1-</t>
  </si>
  <si>
    <t>淮南市禹山水泥有限公司</t>
  </si>
  <si>
    <t>借款</t>
  </si>
  <si>
    <t>17-2-</t>
  </si>
  <si>
    <t>17-4-</t>
  </si>
  <si>
    <t>淮南舜岳水泥有限责任公司</t>
  </si>
  <si>
    <t>程庆福借款（本金已还）</t>
  </si>
  <si>
    <t>水泥</t>
  </si>
  <si>
    <t>项目部垫付</t>
  </si>
  <si>
    <t>专</t>
  </si>
  <si>
    <t>2020-133#-1025000</t>
  </si>
  <si>
    <t>17-5-</t>
  </si>
  <si>
    <t>徽行</t>
  </si>
  <si>
    <t>临泉县大全商贸有限公司</t>
  </si>
  <si>
    <t>临泉县黄岭镇前洼村利红建材销售门市部</t>
  </si>
  <si>
    <t>平舆县平安水泥有限责任公司</t>
  </si>
  <si>
    <t xml:space="preserve"> 水泥</t>
  </si>
  <si>
    <t>结清证明提供</t>
  </si>
  <si>
    <t>17-7-</t>
  </si>
  <si>
    <t>17-8-</t>
  </si>
  <si>
    <t>本金在2020年1月工程款中扣除；且扣除程庆福160万利息</t>
  </si>
  <si>
    <t>前期税款已扣</t>
  </si>
  <si>
    <t>17-9-</t>
  </si>
  <si>
    <t>17-11-</t>
  </si>
  <si>
    <t>17-12-</t>
  </si>
  <si>
    <t>黄沙</t>
  </si>
  <si>
    <t>18-1-</t>
  </si>
  <si>
    <t>石子</t>
  </si>
  <si>
    <t>18-2-</t>
  </si>
  <si>
    <t>阜南银秀机械租赁有限公司</t>
  </si>
  <si>
    <t>机械租赁费</t>
  </si>
  <si>
    <t>有</t>
  </si>
  <si>
    <t>阜南县安心建筑安全设备有限公司</t>
  </si>
  <si>
    <t>劳务</t>
  </si>
  <si>
    <t>水泥467吨</t>
  </si>
  <si>
    <t>以前的合同</t>
  </si>
  <si>
    <t>20-1-</t>
  </si>
  <si>
    <t>1份</t>
  </si>
  <si>
    <t>暂无合同</t>
  </si>
  <si>
    <t>装车费</t>
  </si>
  <si>
    <t>8次</t>
  </si>
  <si>
    <t>扣</t>
  </si>
  <si>
    <t>转账手续费</t>
  </si>
  <si>
    <t>留底工程款（临泉县大全商贸有限公司、临泉县黄岭镇前洼村利红建材销售门市部借款）</t>
  </si>
  <si>
    <t>借款（临泉县黄岭镇前洼村利红建材销售门市部）</t>
  </si>
  <si>
    <t>本金及利息</t>
  </si>
  <si>
    <t>100万利息2018.1.1-2.7，27.36万本金利息，2018.2.8-2020.1-19，,147.73万本金利息，2018.1.1-2020.1.19</t>
  </si>
  <si>
    <t>增值税</t>
  </si>
  <si>
    <t>预留</t>
  </si>
  <si>
    <t>损失准备金</t>
  </si>
  <si>
    <t>人员驻地工资</t>
  </si>
  <si>
    <t>管理费</t>
  </si>
  <si>
    <t>外经证</t>
  </si>
  <si>
    <t>尚需提供成本</t>
  </si>
  <si>
    <t>可支付金额</t>
  </si>
  <si>
    <t>公司代缴税金：</t>
  </si>
  <si>
    <t>税种</t>
  </si>
  <si>
    <t>税额</t>
  </si>
  <si>
    <t>2017年开票税金</t>
  </si>
  <si>
    <t>20.1月开票扣税</t>
  </si>
  <si>
    <t>企业所得税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</si>
  <si>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</si>
  <si>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</si>
  <si>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</si>
  <si>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</si>
  <si>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</si>
  <si>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</si>
  <si>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</si>
  <si>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</si>
  <si>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临泉县2016年乡村道路畅通工程建设项目（第二批）施工3标段</t>
  </si>
  <si>
    <t>增值税及附加</t>
  </si>
  <si>
    <t>暂扣</t>
  </si>
  <si>
    <t>企税（成本不够）</t>
  </si>
  <si>
    <t>利息</t>
  </si>
  <si>
    <t>代办费</t>
  </si>
</sst>
</file>

<file path=xl/styles.xml><?xml version="1.0" encoding="utf-8"?>
<styleSheet xmlns="http://schemas.openxmlformats.org/spreadsheetml/2006/main">
  <numFmts count="9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177" formatCode="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4">
    <xf numFmtId="0" fontId="0" fillId="0" borderId="0" xfId="0"/>
    <xf numFmtId="0" fontId="1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14" fontId="5" fillId="0" borderId="0" xfId="0" applyNumberFormat="1" applyFont="1"/>
    <xf numFmtId="178" fontId="3" fillId="0" borderId="2" xfId="0" applyNumberFormat="1" applyFont="1" applyBorder="1" applyAlignment="1">
      <alignment vertical="center"/>
    </xf>
    <xf numFmtId="0" fontId="5" fillId="0" borderId="0" xfId="0" applyFont="1"/>
    <xf numFmtId="178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9" fontId="3" fillId="0" borderId="2" xfId="1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9" fontId="3" fillId="0" borderId="2" xfId="11" applyNumberFormat="1" applyFont="1" applyBorder="1" applyAlignment="1">
      <alignment horizontal="center" vertical="center"/>
    </xf>
    <xf numFmtId="176" fontId="1" fillId="3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5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6" borderId="2" xfId="11" applyFont="1" applyFill="1" applyBorder="1" applyAlignment="1">
      <alignment horizontal="center" vertical="center"/>
    </xf>
    <xf numFmtId="9" fontId="1" fillId="6" borderId="2" xfId="11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vertical="center"/>
    </xf>
    <xf numFmtId="18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9" fontId="2" fillId="2" borderId="2" xfId="11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6" fontId="3" fillId="7" borderId="2" xfId="0" applyNumberFormat="1" applyFont="1" applyFill="1" applyBorder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176" fontId="3" fillId="4" borderId="2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6" fontId="3" fillId="5" borderId="2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6" fontId="1" fillId="7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78" fontId="5" fillId="0" borderId="0" xfId="0" applyNumberFormat="1" applyFont="1"/>
    <xf numFmtId="178" fontId="3" fillId="0" borderId="2" xfId="0" applyNumberFormat="1" applyFont="1" applyFill="1" applyBorder="1" applyAlignment="1">
      <alignment vertical="center"/>
    </xf>
    <xf numFmtId="178" fontId="1" fillId="3" borderId="2" xfId="0" applyNumberFormat="1" applyFont="1" applyFill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178" fontId="6" fillId="5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7" fontId="2" fillId="4" borderId="2" xfId="0" applyNumberFormat="1" applyFont="1" applyFill="1" applyBorder="1" applyAlignment="1">
      <alignment horizontal="center" vertical="center"/>
    </xf>
    <xf numFmtId="177" fontId="3" fillId="7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vertical="center"/>
    </xf>
    <xf numFmtId="18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9" fontId="7" fillId="6" borderId="2" xfId="11" applyFont="1" applyFill="1" applyBorder="1" applyAlignment="1">
      <alignment horizontal="center" vertical="center"/>
    </xf>
    <xf numFmtId="178" fontId="7" fillId="3" borderId="2" xfId="0" applyNumberFormat="1" applyFont="1" applyFill="1" applyBorder="1" applyAlignment="1">
      <alignment vertical="center"/>
    </xf>
    <xf numFmtId="177" fontId="3" fillId="8" borderId="2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178" fontId="1" fillId="4" borderId="2" xfId="0" applyNumberFormat="1" applyFont="1" applyFill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178" fontId="2" fillId="4" borderId="2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/>
    </xf>
    <xf numFmtId="0" fontId="2" fillId="4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78" fontId="3" fillId="7" borderId="2" xfId="0" applyNumberFormat="1" applyFont="1" applyFill="1" applyBorder="1" applyAlignment="1">
      <alignment vertical="center"/>
    </xf>
    <xf numFmtId="0" fontId="1" fillId="7" borderId="2" xfId="0" applyNumberFormat="1" applyFont="1" applyFill="1" applyBorder="1" applyAlignment="1">
      <alignment vertical="center" wrapText="1"/>
    </xf>
    <xf numFmtId="178" fontId="3" fillId="8" borderId="2" xfId="0" applyNumberFormat="1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78" fontId="3" fillId="4" borderId="2" xfId="0" applyNumberFormat="1" applyFont="1" applyFill="1" applyBorder="1" applyAlignment="1">
      <alignment vertical="center"/>
    </xf>
    <xf numFmtId="0" fontId="1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 wrapText="1"/>
    </xf>
    <xf numFmtId="0" fontId="3" fillId="7" borderId="2" xfId="0" applyNumberFormat="1" applyFont="1" applyFill="1" applyBorder="1" applyAlignment="1">
      <alignment vertical="center" wrapText="1"/>
    </xf>
    <xf numFmtId="179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horizontal="center" vertical="center"/>
    </xf>
    <xf numFmtId="9" fontId="2" fillId="6" borderId="2" xfId="11" applyNumberFormat="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vertical="center"/>
    </xf>
    <xf numFmtId="178" fontId="2" fillId="7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7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3" fillId="0" borderId="2" xfId="0" applyNumberFormat="1" applyFont="1" applyBorder="1" applyAlignment="1">
      <alignment vertical="center" wrapText="1"/>
    </xf>
    <xf numFmtId="178" fontId="1" fillId="7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 wrapText="1"/>
    </xf>
    <xf numFmtId="10" fontId="6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4"/>
  <sheetViews>
    <sheetView tabSelected="1" topLeftCell="A64" workbookViewId="0">
      <selection activeCell="K85" sqref="K85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4.125" style="4" customWidth="1"/>
    <col min="8" max="8" width="11.875" style="5" customWidth="1"/>
    <col min="9" max="9" width="13.875" style="4" customWidth="1"/>
    <col min="10" max="10" width="6.125" style="6" customWidth="1"/>
    <col min="11" max="11" width="36" style="79" customWidth="1"/>
    <col min="12" max="12" width="12.75" style="7" customWidth="1"/>
    <col min="13" max="13" width="19" style="7" customWidth="1"/>
    <col min="14" max="14" width="5.625" style="7" customWidth="1"/>
    <col min="15" max="15" width="18.25" style="7" customWidth="1"/>
    <col min="16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97"/>
      <c r="L1" s="18"/>
    </row>
    <row r="2" ht="18" customHeight="1" spans="1:12">
      <c r="A2" s="10" t="s">
        <v>1</v>
      </c>
      <c r="B2" s="11">
        <v>42538</v>
      </c>
      <c r="C2" s="12" t="s">
        <v>2</v>
      </c>
      <c r="D2" s="80">
        <v>16679716</v>
      </c>
      <c r="E2" s="14" t="s">
        <v>3</v>
      </c>
      <c r="F2" s="12" t="s">
        <v>4</v>
      </c>
      <c r="G2" s="15" t="s">
        <v>5</v>
      </c>
      <c r="H2" s="16" t="s">
        <v>6</v>
      </c>
      <c r="I2" s="47"/>
      <c r="J2" s="48"/>
      <c r="K2" s="97"/>
      <c r="L2" s="18"/>
    </row>
    <row r="3" ht="18" customHeight="1" spans="1:12">
      <c r="A3" s="10" t="s">
        <v>7</v>
      </c>
      <c r="B3" s="17"/>
      <c r="C3" s="12" t="s">
        <v>8</v>
      </c>
      <c r="D3" s="12"/>
      <c r="H3" s="18"/>
      <c r="I3" s="49"/>
      <c r="J3" s="18"/>
      <c r="K3" s="97"/>
      <c r="L3" s="18"/>
    </row>
    <row r="4" ht="18" customHeight="1" spans="1:12">
      <c r="A4" s="3" t="s">
        <v>9</v>
      </c>
      <c r="H4" s="18"/>
      <c r="I4" s="49"/>
      <c r="J4" s="18"/>
      <c r="K4" s="97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42853</v>
      </c>
      <c r="B7" s="12">
        <f t="shared" ref="B7:B20" si="0">G7/(1+C7+E7)</f>
        <v>306306.306306306</v>
      </c>
      <c r="C7" s="24">
        <v>0.02</v>
      </c>
      <c r="D7" s="81">
        <f t="shared" ref="D7:D20" si="1">G7/(1+E7+C7)*C7</f>
        <v>6126.12612612613</v>
      </c>
      <c r="E7" s="26">
        <v>0.09</v>
      </c>
      <c r="F7" s="12">
        <f t="shared" ref="F7:F20" si="2">G7/(1+C7+E7)*E7</f>
        <v>27567.5675675676</v>
      </c>
      <c r="G7" s="82">
        <v>340000</v>
      </c>
      <c r="H7" s="22">
        <v>42865</v>
      </c>
      <c r="I7" s="12">
        <v>340000</v>
      </c>
      <c r="J7" s="50" t="s">
        <v>21</v>
      </c>
    </row>
    <row r="8" ht="18" customHeight="1" spans="1:10">
      <c r="A8" s="22">
        <v>42853</v>
      </c>
      <c r="B8" s="12">
        <f t="shared" si="0"/>
        <v>207207.207207207</v>
      </c>
      <c r="C8" s="24">
        <v>0.02</v>
      </c>
      <c r="D8" s="81">
        <f t="shared" si="1"/>
        <v>4144.14414414414</v>
      </c>
      <c r="E8" s="26">
        <v>0.09</v>
      </c>
      <c r="F8" s="12">
        <f t="shared" si="2"/>
        <v>18648.6486486486</v>
      </c>
      <c r="G8" s="82">
        <v>230000</v>
      </c>
      <c r="H8" s="22">
        <v>42865</v>
      </c>
      <c r="I8" s="12">
        <v>230000</v>
      </c>
      <c r="J8" s="50" t="s">
        <v>21</v>
      </c>
    </row>
    <row r="9" ht="18" customHeight="1" spans="1:10">
      <c r="A9" s="22">
        <v>42874</v>
      </c>
      <c r="B9" s="12">
        <f t="shared" si="0"/>
        <v>1153153.15315315</v>
      </c>
      <c r="C9" s="24">
        <v>0.02</v>
      </c>
      <c r="D9" s="81">
        <f t="shared" si="1"/>
        <v>23063.0630630631</v>
      </c>
      <c r="E9" s="26">
        <v>0.09</v>
      </c>
      <c r="F9" s="12">
        <f t="shared" si="2"/>
        <v>103783.783783784</v>
      </c>
      <c r="G9" s="82">
        <v>1280000</v>
      </c>
      <c r="H9" s="22">
        <v>42914</v>
      </c>
      <c r="I9" s="12">
        <v>1350000</v>
      </c>
      <c r="J9" s="50" t="s">
        <v>21</v>
      </c>
    </row>
    <row r="10" ht="18" customHeight="1" spans="1:10">
      <c r="A10" s="22">
        <v>42874</v>
      </c>
      <c r="B10" s="12">
        <f t="shared" si="0"/>
        <v>63063.0630630631</v>
      </c>
      <c r="C10" s="24">
        <v>0.02</v>
      </c>
      <c r="D10" s="81">
        <f t="shared" si="1"/>
        <v>1261.26126126126</v>
      </c>
      <c r="E10" s="26">
        <v>0.09</v>
      </c>
      <c r="F10" s="12">
        <f t="shared" si="2"/>
        <v>5675.67567567567</v>
      </c>
      <c r="G10" s="82">
        <v>70000</v>
      </c>
      <c r="H10" s="22"/>
      <c r="I10" s="12"/>
      <c r="J10" s="50"/>
    </row>
    <row r="11" ht="18" customHeight="1" spans="1:10">
      <c r="A11" s="22">
        <v>42986</v>
      </c>
      <c r="B11" s="12">
        <f t="shared" si="0"/>
        <v>342342.342342342</v>
      </c>
      <c r="C11" s="24">
        <v>0.02</v>
      </c>
      <c r="D11" s="81">
        <f t="shared" si="1"/>
        <v>6846.84684684685</v>
      </c>
      <c r="E11" s="26">
        <v>0.09</v>
      </c>
      <c r="F11" s="12">
        <f t="shared" si="2"/>
        <v>30810.8108108108</v>
      </c>
      <c r="G11" s="82">
        <v>380000</v>
      </c>
      <c r="H11" s="22">
        <v>42986</v>
      </c>
      <c r="I11" s="12">
        <v>380000</v>
      </c>
      <c r="J11" s="50" t="s">
        <v>21</v>
      </c>
    </row>
    <row r="12" ht="18" customHeight="1" spans="1:10">
      <c r="A12" s="22">
        <v>42986</v>
      </c>
      <c r="B12" s="12">
        <f t="shared" si="0"/>
        <v>99099.0990990991</v>
      </c>
      <c r="C12" s="24">
        <v>0.02</v>
      </c>
      <c r="D12" s="81">
        <f t="shared" si="1"/>
        <v>1981.98198198198</v>
      </c>
      <c r="E12" s="26">
        <v>0.09</v>
      </c>
      <c r="F12" s="12">
        <f t="shared" si="2"/>
        <v>8918.91891891892</v>
      </c>
      <c r="G12" s="82">
        <v>110000</v>
      </c>
      <c r="H12" s="22">
        <v>42986</v>
      </c>
      <c r="I12" s="12">
        <v>110000</v>
      </c>
      <c r="J12" s="50" t="s">
        <v>21</v>
      </c>
    </row>
    <row r="13" ht="18" customHeight="1" spans="1:10">
      <c r="A13" s="22">
        <v>43040</v>
      </c>
      <c r="B13" s="12">
        <f t="shared" si="0"/>
        <v>2783783.78378378</v>
      </c>
      <c r="C13" s="24">
        <v>0.02</v>
      </c>
      <c r="D13" s="81">
        <f t="shared" si="1"/>
        <v>55675.6756756757</v>
      </c>
      <c r="E13" s="26">
        <v>0.09</v>
      </c>
      <c r="F13" s="12">
        <f t="shared" si="2"/>
        <v>250540.540540541</v>
      </c>
      <c r="G13" s="82">
        <v>3090000</v>
      </c>
      <c r="H13" s="22">
        <v>43068</v>
      </c>
      <c r="I13" s="12">
        <v>3090000</v>
      </c>
      <c r="J13" s="50" t="s">
        <v>21</v>
      </c>
    </row>
    <row r="14" ht="18" customHeight="1" spans="1:10">
      <c r="A14" s="22">
        <v>43138</v>
      </c>
      <c r="B14" s="12">
        <f t="shared" si="0"/>
        <v>2234234.23423423</v>
      </c>
      <c r="C14" s="24">
        <v>0.02</v>
      </c>
      <c r="D14" s="81">
        <f t="shared" si="1"/>
        <v>44684.6846846847</v>
      </c>
      <c r="E14" s="26">
        <v>0.09</v>
      </c>
      <c r="F14" s="12">
        <f t="shared" si="2"/>
        <v>201081.081081081</v>
      </c>
      <c r="G14" s="82">
        <v>2480000</v>
      </c>
      <c r="H14" s="22">
        <v>43139</v>
      </c>
      <c r="I14" s="12">
        <v>2480000</v>
      </c>
      <c r="J14" s="50" t="s">
        <v>21</v>
      </c>
    </row>
    <row r="15" ht="18" customHeight="1" spans="1:10">
      <c r="A15" s="22">
        <v>43836</v>
      </c>
      <c r="B15" s="12">
        <f t="shared" si="0"/>
        <v>2137614.67889908</v>
      </c>
      <c r="C15" s="24">
        <v>0.02</v>
      </c>
      <c r="D15" s="81">
        <f t="shared" si="1"/>
        <v>42752.2935779816</v>
      </c>
      <c r="E15" s="26">
        <v>0.07</v>
      </c>
      <c r="F15" s="12">
        <f t="shared" si="2"/>
        <v>149633.027522936</v>
      </c>
      <c r="G15" s="82">
        <v>2330000</v>
      </c>
      <c r="H15" s="22">
        <v>43849</v>
      </c>
      <c r="I15" s="12">
        <v>2330000</v>
      </c>
      <c r="J15" s="50" t="s">
        <v>21</v>
      </c>
    </row>
    <row r="16" ht="18" customHeight="1" spans="1:10">
      <c r="A16" s="22">
        <v>43836</v>
      </c>
      <c r="B16" s="12">
        <f t="shared" si="0"/>
        <v>1954128.44036697</v>
      </c>
      <c r="C16" s="24">
        <v>0.02</v>
      </c>
      <c r="D16" s="81">
        <f t="shared" si="1"/>
        <v>39082.5688073394</v>
      </c>
      <c r="E16" s="26">
        <v>0.07</v>
      </c>
      <c r="F16" s="12">
        <f t="shared" si="2"/>
        <v>136788.990825688</v>
      </c>
      <c r="G16" s="82">
        <v>2130000</v>
      </c>
      <c r="H16" s="22">
        <v>43849</v>
      </c>
      <c r="I16" s="12">
        <v>2130000</v>
      </c>
      <c r="J16" s="50" t="s">
        <v>21</v>
      </c>
    </row>
    <row r="17" ht="18" customHeight="1" spans="1:10">
      <c r="A17" s="22"/>
      <c r="B17" s="12">
        <f t="shared" si="0"/>
        <v>0</v>
      </c>
      <c r="C17" s="24"/>
      <c r="D17" s="81">
        <f t="shared" si="1"/>
        <v>0</v>
      </c>
      <c r="E17" s="26"/>
      <c r="F17" s="12">
        <f t="shared" si="2"/>
        <v>0</v>
      </c>
      <c r="G17" s="82"/>
      <c r="H17" s="22"/>
      <c r="I17" s="12"/>
      <c r="J17" s="50"/>
    </row>
    <row r="18" ht="18" customHeight="1" spans="1:10">
      <c r="A18" s="22"/>
      <c r="B18" s="12">
        <f t="shared" si="0"/>
        <v>0</v>
      </c>
      <c r="C18" s="24"/>
      <c r="D18" s="81">
        <f t="shared" si="1"/>
        <v>0</v>
      </c>
      <c r="E18" s="26"/>
      <c r="F18" s="12">
        <f t="shared" si="2"/>
        <v>0</v>
      </c>
      <c r="G18" s="82"/>
      <c r="H18" s="22"/>
      <c r="I18" s="12"/>
      <c r="J18" s="50"/>
    </row>
    <row r="19" ht="18" customHeight="1" spans="1:10">
      <c r="A19" s="22"/>
      <c r="B19" s="12">
        <f t="shared" si="0"/>
        <v>0</v>
      </c>
      <c r="C19" s="24"/>
      <c r="D19" s="81">
        <f t="shared" si="1"/>
        <v>0</v>
      </c>
      <c r="E19" s="26"/>
      <c r="F19" s="12">
        <f t="shared" si="2"/>
        <v>0</v>
      </c>
      <c r="G19" s="82"/>
      <c r="H19" s="22"/>
      <c r="I19" s="12"/>
      <c r="J19" s="50"/>
    </row>
    <row r="20" ht="18" customHeight="1" spans="1:10">
      <c r="A20" s="22"/>
      <c r="B20" s="12">
        <f t="shared" si="0"/>
        <v>0</v>
      </c>
      <c r="C20" s="24"/>
      <c r="D20" s="81">
        <f t="shared" si="1"/>
        <v>0</v>
      </c>
      <c r="E20" s="26"/>
      <c r="F20" s="12">
        <f t="shared" si="2"/>
        <v>0</v>
      </c>
      <c r="G20" s="82"/>
      <c r="H20" s="22"/>
      <c r="I20" s="12"/>
      <c r="J20" s="50"/>
    </row>
    <row r="21" ht="18" customHeight="1" spans="1:10">
      <c r="A21" s="28" t="s">
        <v>22</v>
      </c>
      <c r="B21" s="83">
        <f t="shared" ref="B21:G21" si="3">SUM(B7:B20)</f>
        <v>11280932.3084552</v>
      </c>
      <c r="C21" s="30"/>
      <c r="D21" s="30">
        <f t="shared" si="3"/>
        <v>225618.646169105</v>
      </c>
      <c r="E21" s="30"/>
      <c r="F21" s="84">
        <f t="shared" si="3"/>
        <v>933449.045375651</v>
      </c>
      <c r="G21" s="30">
        <f t="shared" si="3"/>
        <v>12440000</v>
      </c>
      <c r="H21" s="33"/>
      <c r="I21" s="30">
        <f>SUM(I7:I20)</f>
        <v>12440000</v>
      </c>
      <c r="J21" s="33"/>
    </row>
    <row r="22" ht="18" customHeight="1" spans="1:12">
      <c r="A22" s="3" t="s">
        <v>23</v>
      </c>
      <c r="J22" s="5"/>
      <c r="K22" s="98"/>
      <c r="L22" s="6"/>
    </row>
    <row r="23" ht="18" customHeight="1" spans="1:15">
      <c r="A23" s="34" t="s">
        <v>24</v>
      </c>
      <c r="B23" s="20" t="s">
        <v>25</v>
      </c>
      <c r="C23" s="19" t="s">
        <v>26</v>
      </c>
      <c r="D23" s="19" t="s">
        <v>27</v>
      </c>
      <c r="E23" s="19" t="s">
        <v>16</v>
      </c>
      <c r="F23" s="20" t="s">
        <v>28</v>
      </c>
      <c r="G23" s="20" t="s">
        <v>14</v>
      </c>
      <c r="H23" s="19" t="s">
        <v>29</v>
      </c>
      <c r="I23" s="20" t="s">
        <v>30</v>
      </c>
      <c r="J23" s="19" t="s">
        <v>20</v>
      </c>
      <c r="K23" s="99" t="s">
        <v>31</v>
      </c>
      <c r="L23" s="21" t="s">
        <v>32</v>
      </c>
      <c r="M23" s="21" t="s">
        <v>33</v>
      </c>
      <c r="N23" s="21" t="s">
        <v>34</v>
      </c>
      <c r="O23" s="21" t="s">
        <v>35</v>
      </c>
    </row>
    <row r="24" s="1" customFormat="1" ht="18" customHeight="1" spans="1:15">
      <c r="A24" s="35">
        <v>42736</v>
      </c>
      <c r="B24" s="85">
        <f>ROUND(G24/(1+E24),2)</f>
        <v>12600</v>
      </c>
      <c r="C24" s="36"/>
      <c r="D24" s="37"/>
      <c r="E24" s="38"/>
      <c r="F24" s="85">
        <f>ROUND(G24/(1+E24)*E24,2)</f>
        <v>0</v>
      </c>
      <c r="G24" s="82">
        <v>12600</v>
      </c>
      <c r="H24" s="22"/>
      <c r="I24" s="12"/>
      <c r="J24" s="50"/>
      <c r="K24" s="100" t="s">
        <v>36</v>
      </c>
      <c r="L24" s="53" t="s">
        <v>37</v>
      </c>
      <c r="M24" s="54"/>
      <c r="N24" s="54"/>
      <c r="O24" s="53"/>
    </row>
    <row r="25" s="1" customFormat="1" ht="18" customHeight="1" spans="1:15">
      <c r="A25" s="35"/>
      <c r="B25" s="85">
        <f>ROUND(G25/(1+E25),2)</f>
        <v>0</v>
      </c>
      <c r="C25" s="36"/>
      <c r="D25" s="37"/>
      <c r="E25" s="38"/>
      <c r="F25" s="85">
        <f>ROUND(G25/(1+E25)*E25,2)</f>
        <v>0</v>
      </c>
      <c r="G25" s="82"/>
      <c r="H25" s="86" t="s">
        <v>38</v>
      </c>
      <c r="I25" s="101">
        <v>200000</v>
      </c>
      <c r="J25" s="102" t="s">
        <v>21</v>
      </c>
      <c r="K25" s="103" t="s">
        <v>39</v>
      </c>
      <c r="L25" s="104" t="s">
        <v>40</v>
      </c>
      <c r="M25" s="102"/>
      <c r="N25" s="102"/>
      <c r="O25" s="53"/>
    </row>
    <row r="26" s="1" customFormat="1" ht="18" customHeight="1" spans="1:15">
      <c r="A26" s="35"/>
      <c r="B26" s="85">
        <f>ROUND(G26/(1+E26),2)</f>
        <v>0</v>
      </c>
      <c r="C26" s="36"/>
      <c r="D26" s="37"/>
      <c r="E26" s="38"/>
      <c r="F26" s="85">
        <f>ROUND(G26/(1+E26)*E26,2)</f>
        <v>0</v>
      </c>
      <c r="G26" s="82"/>
      <c r="H26" s="86" t="s">
        <v>38</v>
      </c>
      <c r="I26" s="101">
        <v>200000</v>
      </c>
      <c r="J26" s="102" t="s">
        <v>21</v>
      </c>
      <c r="K26" s="103" t="s">
        <v>39</v>
      </c>
      <c r="L26" s="104" t="s">
        <v>40</v>
      </c>
      <c r="M26" s="102"/>
      <c r="N26" s="102"/>
      <c r="O26" s="53"/>
    </row>
    <row r="27" s="1" customFormat="1" ht="18" customHeight="1" spans="1:15">
      <c r="A27" s="35"/>
      <c r="B27" s="85"/>
      <c r="C27" s="36"/>
      <c r="D27" s="37"/>
      <c r="E27" s="38"/>
      <c r="F27" s="85"/>
      <c r="G27" s="82"/>
      <c r="H27" s="86" t="s">
        <v>41</v>
      </c>
      <c r="I27" s="101">
        <v>300000</v>
      </c>
      <c r="J27" s="102" t="s">
        <v>21</v>
      </c>
      <c r="K27" s="103" t="s">
        <v>39</v>
      </c>
      <c r="L27" s="104" t="s">
        <v>40</v>
      </c>
      <c r="M27" s="102"/>
      <c r="N27" s="102"/>
      <c r="O27" s="53"/>
    </row>
    <row r="28" s="1" customFormat="1" ht="18" customHeight="1" spans="1:15">
      <c r="A28" s="35"/>
      <c r="B28" s="85"/>
      <c r="C28" s="36"/>
      <c r="D28" s="37"/>
      <c r="E28" s="38"/>
      <c r="F28" s="85"/>
      <c r="G28" s="82"/>
      <c r="H28" s="86" t="s">
        <v>41</v>
      </c>
      <c r="I28" s="101">
        <v>300000</v>
      </c>
      <c r="J28" s="102" t="s">
        <v>21</v>
      </c>
      <c r="K28" s="103" t="s">
        <v>39</v>
      </c>
      <c r="L28" s="104" t="s">
        <v>40</v>
      </c>
      <c r="M28" s="102"/>
      <c r="N28" s="102"/>
      <c r="O28" s="53"/>
    </row>
    <row r="29" s="1" customFormat="1" ht="18" customHeight="1" spans="1:15">
      <c r="A29" s="35"/>
      <c r="B29" s="85"/>
      <c r="C29" s="36"/>
      <c r="D29" s="37"/>
      <c r="E29" s="38"/>
      <c r="F29" s="85"/>
      <c r="G29" s="82"/>
      <c r="H29" s="86" t="s">
        <v>42</v>
      </c>
      <c r="I29" s="101">
        <v>600000</v>
      </c>
      <c r="J29" s="102" t="s">
        <v>21</v>
      </c>
      <c r="K29" s="103" t="s">
        <v>43</v>
      </c>
      <c r="L29" s="104" t="s">
        <v>40</v>
      </c>
      <c r="M29" s="102"/>
      <c r="N29" s="102"/>
      <c r="O29" s="53"/>
    </row>
    <row r="30" s="1" customFormat="1" ht="18" customHeight="1" spans="1:15">
      <c r="A30" s="35"/>
      <c r="B30" s="85"/>
      <c r="C30" s="36"/>
      <c r="D30" s="37"/>
      <c r="E30" s="38"/>
      <c r="F30" s="85"/>
      <c r="G30" s="82"/>
      <c r="H30" s="86"/>
      <c r="I30" s="101">
        <v>-1600000</v>
      </c>
      <c r="J30" s="102" t="s">
        <v>40</v>
      </c>
      <c r="K30" s="105" t="s">
        <v>44</v>
      </c>
      <c r="L30" s="104"/>
      <c r="M30" s="102"/>
      <c r="N30" s="102"/>
      <c r="O30" s="53"/>
    </row>
    <row r="31" s="1" customFormat="1" ht="18" customHeight="1" spans="1:15">
      <c r="A31" s="35">
        <v>42767</v>
      </c>
      <c r="B31" s="85">
        <f t="shared" ref="B31:B38" si="4">ROUND(G31/(1+E31),2)</f>
        <v>502056.2</v>
      </c>
      <c r="C31" s="36"/>
      <c r="D31" s="37"/>
      <c r="E31" s="38"/>
      <c r="F31" s="85">
        <f t="shared" ref="F31:F38" si="5">ROUND(G31/(1+E31)*E31,2)</f>
        <v>0</v>
      </c>
      <c r="G31" s="82">
        <v>502056.2</v>
      </c>
      <c r="H31" s="22"/>
      <c r="I31" s="12"/>
      <c r="J31" s="50"/>
      <c r="K31" s="106" t="s">
        <v>36</v>
      </c>
      <c r="L31" s="52" t="s">
        <v>45</v>
      </c>
      <c r="M31" s="54"/>
      <c r="N31" s="54"/>
      <c r="O31" s="53" t="s">
        <v>46</v>
      </c>
    </row>
    <row r="32" s="1" customFormat="1" ht="18" customHeight="1" spans="1:15">
      <c r="A32" s="35">
        <v>42767</v>
      </c>
      <c r="B32" s="85">
        <f t="shared" si="4"/>
        <v>427350.43</v>
      </c>
      <c r="C32" s="36"/>
      <c r="D32" s="37" t="s">
        <v>47</v>
      </c>
      <c r="E32" s="39">
        <v>0.17</v>
      </c>
      <c r="F32" s="85">
        <f t="shared" si="5"/>
        <v>72649.57</v>
      </c>
      <c r="G32" s="82">
        <v>500000</v>
      </c>
      <c r="H32" s="22"/>
      <c r="I32" s="12"/>
      <c r="J32" s="50"/>
      <c r="K32" s="100" t="s">
        <v>39</v>
      </c>
      <c r="L32" s="53" t="s">
        <v>45</v>
      </c>
      <c r="M32" s="54"/>
      <c r="N32" s="54"/>
      <c r="O32" s="53"/>
    </row>
    <row r="33" s="1" customFormat="1" ht="18" customHeight="1" spans="1:15">
      <c r="A33" s="35">
        <v>42767</v>
      </c>
      <c r="B33" s="85">
        <f t="shared" si="4"/>
        <v>182720</v>
      </c>
      <c r="C33" s="36"/>
      <c r="D33" s="37"/>
      <c r="E33" s="38"/>
      <c r="F33" s="85">
        <f t="shared" si="5"/>
        <v>0</v>
      </c>
      <c r="G33" s="82">
        <v>182720</v>
      </c>
      <c r="H33" s="22"/>
      <c r="I33" s="12"/>
      <c r="J33" s="50"/>
      <c r="K33" s="100" t="s">
        <v>36</v>
      </c>
      <c r="L33" s="53" t="s">
        <v>37</v>
      </c>
      <c r="M33" s="54"/>
      <c r="N33" s="54"/>
      <c r="O33" s="53"/>
    </row>
    <row r="34" s="1" customFormat="1" ht="18" customHeight="1" spans="1:15">
      <c r="A34" s="35">
        <v>42795</v>
      </c>
      <c r="B34" s="85">
        <f t="shared" si="4"/>
        <v>183220</v>
      </c>
      <c r="C34" s="36"/>
      <c r="D34" s="37"/>
      <c r="E34" s="38"/>
      <c r="F34" s="85">
        <f t="shared" si="5"/>
        <v>0</v>
      </c>
      <c r="G34" s="82">
        <v>183220</v>
      </c>
      <c r="H34" s="22"/>
      <c r="I34" s="12"/>
      <c r="J34" s="50"/>
      <c r="K34" s="100" t="s">
        <v>36</v>
      </c>
      <c r="L34" s="53" t="s">
        <v>37</v>
      </c>
      <c r="M34" s="54"/>
      <c r="N34" s="54"/>
      <c r="O34" s="53"/>
    </row>
    <row r="35" s="1" customFormat="1" ht="18" customHeight="1" spans="1:15">
      <c r="A35" s="35">
        <v>42856</v>
      </c>
      <c r="B35" s="85">
        <f t="shared" si="4"/>
        <v>557812.14</v>
      </c>
      <c r="C35" s="36"/>
      <c r="D35" s="37" t="s">
        <v>47</v>
      </c>
      <c r="E35" s="39">
        <v>0.17</v>
      </c>
      <c r="F35" s="85">
        <f t="shared" si="5"/>
        <v>94828.06</v>
      </c>
      <c r="G35" s="82">
        <v>652640.2</v>
      </c>
      <c r="H35" s="22"/>
      <c r="I35" s="12"/>
      <c r="J35" s="50"/>
      <c r="K35" s="100" t="s">
        <v>43</v>
      </c>
      <c r="L35" s="53" t="s">
        <v>45</v>
      </c>
      <c r="M35" s="54" t="s">
        <v>48</v>
      </c>
      <c r="N35" s="54"/>
      <c r="O35" s="53"/>
    </row>
    <row r="36" s="1" customFormat="1" ht="18" customHeight="1" spans="1:15">
      <c r="A36" s="35"/>
      <c r="B36" s="85">
        <f t="shared" si="4"/>
        <v>0</v>
      </c>
      <c r="C36" s="36"/>
      <c r="D36" s="37"/>
      <c r="E36" s="38"/>
      <c r="F36" s="85">
        <f t="shared" si="5"/>
        <v>0</v>
      </c>
      <c r="G36" s="82"/>
      <c r="H36" s="87" t="s">
        <v>49</v>
      </c>
      <c r="I36" s="107">
        <v>568000</v>
      </c>
      <c r="J36" s="56" t="s">
        <v>50</v>
      </c>
      <c r="K36" s="108" t="s">
        <v>36</v>
      </c>
      <c r="M36" s="54"/>
      <c r="N36" s="54"/>
      <c r="O36" s="53"/>
    </row>
    <row r="37" s="78" customFormat="1" ht="18" customHeight="1" spans="1:15">
      <c r="A37" s="88"/>
      <c r="B37" s="89">
        <f t="shared" si="4"/>
        <v>0</v>
      </c>
      <c r="C37" s="90"/>
      <c r="D37" s="91"/>
      <c r="E37" s="92"/>
      <c r="F37" s="89">
        <f t="shared" si="5"/>
        <v>0</v>
      </c>
      <c r="G37" s="93"/>
      <c r="H37" s="94" t="s">
        <v>49</v>
      </c>
      <c r="I37" s="109">
        <v>500000</v>
      </c>
      <c r="J37" s="110" t="s">
        <v>21</v>
      </c>
      <c r="K37" s="111" t="s">
        <v>51</v>
      </c>
      <c r="L37" s="58" t="s">
        <v>40</v>
      </c>
      <c r="M37" s="112"/>
      <c r="N37" s="112"/>
      <c r="O37" s="113"/>
    </row>
    <row r="38" s="1" customFormat="1" ht="18" customHeight="1" spans="1:15">
      <c r="A38" s="35"/>
      <c r="B38" s="85">
        <f t="shared" si="4"/>
        <v>0</v>
      </c>
      <c r="C38" s="36"/>
      <c r="D38" s="37"/>
      <c r="E38" s="38"/>
      <c r="F38" s="85">
        <f t="shared" si="5"/>
        <v>0</v>
      </c>
      <c r="G38" s="82"/>
      <c r="H38" s="94" t="s">
        <v>49</v>
      </c>
      <c r="I38" s="109">
        <v>500000</v>
      </c>
      <c r="J38" s="110" t="s">
        <v>21</v>
      </c>
      <c r="K38" s="111" t="s">
        <v>52</v>
      </c>
      <c r="L38" s="58" t="s">
        <v>40</v>
      </c>
      <c r="M38" s="54"/>
      <c r="N38" s="54"/>
      <c r="O38" s="53"/>
    </row>
    <row r="39" s="1" customFormat="1" ht="18" customHeight="1" spans="1:15">
      <c r="A39" s="35"/>
      <c r="B39" s="85"/>
      <c r="C39" s="36"/>
      <c r="D39" s="37"/>
      <c r="E39" s="38"/>
      <c r="F39" s="85"/>
      <c r="G39" s="82"/>
      <c r="H39" s="94"/>
      <c r="I39" s="109">
        <v>-1000000</v>
      </c>
      <c r="J39" s="102" t="s">
        <v>40</v>
      </c>
      <c r="K39" s="111"/>
      <c r="L39" s="58"/>
      <c r="M39" s="54"/>
      <c r="N39" s="54"/>
      <c r="O39" s="53"/>
    </row>
    <row r="40" s="1" customFormat="1" ht="18" customHeight="1" spans="1:16">
      <c r="A40" s="35">
        <v>42887</v>
      </c>
      <c r="B40" s="85">
        <f>ROUND(G40/(1+E40),2)</f>
        <v>399600</v>
      </c>
      <c r="C40" s="36"/>
      <c r="D40" s="37" t="s">
        <v>47</v>
      </c>
      <c r="E40" s="39">
        <v>0.17</v>
      </c>
      <c r="F40" s="85">
        <f>ROUND(G40/(1+E40)*E40,2)</f>
        <v>67932</v>
      </c>
      <c r="G40" s="82">
        <v>467532</v>
      </c>
      <c r="H40" s="22"/>
      <c r="I40" s="12"/>
      <c r="J40" s="50"/>
      <c r="K40" s="100" t="s">
        <v>53</v>
      </c>
      <c r="L40" s="53" t="s">
        <v>54</v>
      </c>
      <c r="M40" s="54"/>
      <c r="N40" s="54"/>
      <c r="O40" s="53"/>
      <c r="P40" s="1" t="s">
        <v>55</v>
      </c>
    </row>
    <row r="41" s="1" customFormat="1" ht="18" customHeight="1" spans="1:15">
      <c r="A41" s="35"/>
      <c r="B41" s="85">
        <f>ROUND(G41/(1+E41),2)</f>
        <v>0</v>
      </c>
      <c r="C41" s="36"/>
      <c r="D41" s="37"/>
      <c r="E41" s="39"/>
      <c r="F41" s="85">
        <f>ROUND(G41/(1+E41)*E41,2)</f>
        <v>0</v>
      </c>
      <c r="G41" s="82"/>
      <c r="H41" s="87" t="s">
        <v>56</v>
      </c>
      <c r="I41" s="107">
        <v>500000</v>
      </c>
      <c r="J41" s="56" t="s">
        <v>21</v>
      </c>
      <c r="K41" s="108" t="s">
        <v>51</v>
      </c>
      <c r="L41" s="53"/>
      <c r="M41" s="54"/>
      <c r="N41" s="54"/>
      <c r="O41" s="53"/>
    </row>
    <row r="42" s="1" customFormat="1" ht="18" customHeight="1" spans="1:15">
      <c r="A42" s="35"/>
      <c r="B42" s="85">
        <f>ROUND(G42/(1+E42),2)</f>
        <v>0</v>
      </c>
      <c r="C42" s="36"/>
      <c r="D42" s="37"/>
      <c r="E42" s="39"/>
      <c r="F42" s="85">
        <f>ROUND(G42/(1+E42)*E42,2)</f>
        <v>0</v>
      </c>
      <c r="G42" s="82"/>
      <c r="H42" s="87" t="s">
        <v>56</v>
      </c>
      <c r="I42" s="107">
        <v>500000</v>
      </c>
      <c r="J42" s="56" t="s">
        <v>21</v>
      </c>
      <c r="K42" s="108" t="s">
        <v>52</v>
      </c>
      <c r="L42" s="53"/>
      <c r="M42" s="54"/>
      <c r="N42" s="54"/>
      <c r="O42" s="53"/>
    </row>
    <row r="43" s="1" customFormat="1" ht="18" customHeight="1" spans="1:15">
      <c r="A43" s="35"/>
      <c r="B43" s="85">
        <f>ROUND(G43/(1+E43),2)</f>
        <v>0</v>
      </c>
      <c r="C43" s="36"/>
      <c r="D43" s="37"/>
      <c r="E43" s="39"/>
      <c r="F43" s="85">
        <f>ROUND(G43/(1+E43)*E43,2)</f>
        <v>0</v>
      </c>
      <c r="G43" s="82"/>
      <c r="H43" s="87" t="s">
        <v>57</v>
      </c>
      <c r="I43" s="107">
        <v>350000</v>
      </c>
      <c r="J43" s="56" t="s">
        <v>50</v>
      </c>
      <c r="K43" s="108" t="s">
        <v>36</v>
      </c>
      <c r="L43" s="53"/>
      <c r="M43" s="54"/>
      <c r="N43" s="54"/>
      <c r="O43" s="53"/>
    </row>
    <row r="44" s="1" customFormat="1" ht="18" customHeight="1" spans="1:15">
      <c r="A44" s="35"/>
      <c r="B44" s="85">
        <f>ROUND(G44/(1+E44),2)</f>
        <v>0</v>
      </c>
      <c r="C44" s="36"/>
      <c r="D44" s="37"/>
      <c r="E44" s="39"/>
      <c r="F44" s="85">
        <f>ROUND(G44/(1+E44)*E44,2)</f>
        <v>0</v>
      </c>
      <c r="G44" s="82"/>
      <c r="H44" s="40" t="s">
        <v>57</v>
      </c>
      <c r="I44" s="114">
        <v>500000</v>
      </c>
      <c r="J44" s="60" t="s">
        <v>21</v>
      </c>
      <c r="K44" s="115" t="s">
        <v>52</v>
      </c>
      <c r="L44" s="116" t="s">
        <v>40</v>
      </c>
      <c r="M44" s="54"/>
      <c r="N44" s="54"/>
      <c r="O44" s="53"/>
    </row>
    <row r="45" s="1" customFormat="1" ht="18" customHeight="1" spans="1:15">
      <c r="A45" s="35"/>
      <c r="B45" s="85"/>
      <c r="C45" s="36"/>
      <c r="D45" s="37"/>
      <c r="E45" s="39"/>
      <c r="F45" s="85"/>
      <c r="G45" s="82"/>
      <c r="H45" s="40" t="s">
        <v>57</v>
      </c>
      <c r="I45" s="114">
        <v>500000</v>
      </c>
      <c r="J45" s="60" t="s">
        <v>50</v>
      </c>
      <c r="K45" s="115" t="s">
        <v>36</v>
      </c>
      <c r="L45" s="116" t="s">
        <v>40</v>
      </c>
      <c r="M45" s="54"/>
      <c r="N45" s="54"/>
      <c r="O45" s="53"/>
    </row>
    <row r="46" s="1" customFormat="1" ht="18" customHeight="1" spans="1:15">
      <c r="A46" s="35"/>
      <c r="B46" s="85"/>
      <c r="C46" s="36"/>
      <c r="D46" s="37"/>
      <c r="E46" s="39"/>
      <c r="F46" s="85"/>
      <c r="G46" s="82"/>
      <c r="H46" s="40"/>
      <c r="I46" s="114">
        <v>-1000000</v>
      </c>
      <c r="J46" s="102" t="s">
        <v>40</v>
      </c>
      <c r="K46" s="115" t="s">
        <v>58</v>
      </c>
      <c r="L46" s="116"/>
      <c r="M46" s="54"/>
      <c r="N46" s="54"/>
      <c r="O46" s="53"/>
    </row>
    <row r="47" s="2" customFormat="1" ht="18" customHeight="1" spans="1:17">
      <c r="A47" s="41">
        <v>42979</v>
      </c>
      <c r="B47" s="95">
        <f t="shared" ref="B47:B69" si="6">ROUND(G47/(1+E47),2)</f>
        <v>113280</v>
      </c>
      <c r="C47" s="43"/>
      <c r="D47" s="44"/>
      <c r="E47" s="45"/>
      <c r="F47" s="95">
        <f t="shared" ref="F47:F69" si="7">ROUND(G47/(1+E47)*E47,2)</f>
        <v>0</v>
      </c>
      <c r="G47" s="95">
        <v>113280</v>
      </c>
      <c r="H47" s="46"/>
      <c r="I47" s="95"/>
      <c r="J47" s="62"/>
      <c r="K47" s="117" t="s">
        <v>36</v>
      </c>
      <c r="L47" s="64" t="s">
        <v>37</v>
      </c>
      <c r="M47" s="62"/>
      <c r="N47" s="62"/>
      <c r="O47" s="64"/>
      <c r="Q47" s="2" t="s">
        <v>59</v>
      </c>
    </row>
    <row r="48" s="1" customFormat="1" ht="18" customHeight="1" spans="1:15">
      <c r="A48" s="35"/>
      <c r="B48" s="85">
        <f t="shared" si="6"/>
        <v>0</v>
      </c>
      <c r="C48" s="36"/>
      <c r="D48" s="37"/>
      <c r="E48" s="39"/>
      <c r="F48" s="85">
        <f t="shared" si="7"/>
        <v>0</v>
      </c>
      <c r="G48" s="82"/>
      <c r="H48" s="22" t="s">
        <v>60</v>
      </c>
      <c r="I48" s="107">
        <v>310000</v>
      </c>
      <c r="J48" s="56" t="s">
        <v>50</v>
      </c>
      <c r="K48" s="108" t="s">
        <v>36</v>
      </c>
      <c r="L48" s="53"/>
      <c r="M48" s="54"/>
      <c r="N48" s="54"/>
      <c r="O48" s="53"/>
    </row>
    <row r="49" s="1" customFormat="1" ht="18" customHeight="1" spans="1:15">
      <c r="A49" s="35"/>
      <c r="B49" s="85">
        <f t="shared" si="6"/>
        <v>0</v>
      </c>
      <c r="C49" s="36"/>
      <c r="D49" s="37"/>
      <c r="E49" s="39"/>
      <c r="F49" s="85">
        <f t="shared" si="7"/>
        <v>0</v>
      </c>
      <c r="G49" s="82"/>
      <c r="H49" s="22" t="s">
        <v>61</v>
      </c>
      <c r="I49" s="107">
        <v>178000</v>
      </c>
      <c r="J49" s="56" t="s">
        <v>50</v>
      </c>
      <c r="K49" s="108" t="s">
        <v>36</v>
      </c>
      <c r="L49" s="53"/>
      <c r="M49" s="54"/>
      <c r="N49" s="54"/>
      <c r="O49" s="53"/>
    </row>
    <row r="50" s="1" customFormat="1" ht="18" customHeight="1" spans="1:15">
      <c r="A50" s="35"/>
      <c r="B50" s="85">
        <f t="shared" si="6"/>
        <v>0</v>
      </c>
      <c r="C50" s="36"/>
      <c r="D50" s="37"/>
      <c r="E50" s="39"/>
      <c r="F50" s="85">
        <f t="shared" si="7"/>
        <v>0</v>
      </c>
      <c r="G50" s="82"/>
      <c r="H50" s="22" t="s">
        <v>62</v>
      </c>
      <c r="I50" s="107">
        <v>310000</v>
      </c>
      <c r="J50" s="56" t="s">
        <v>21</v>
      </c>
      <c r="K50" s="108" t="s">
        <v>52</v>
      </c>
      <c r="L50" s="53"/>
      <c r="M50" s="54"/>
      <c r="N50" s="54"/>
      <c r="O50" s="53"/>
    </row>
    <row r="51" s="1" customFormat="1" ht="18" customHeight="1" spans="1:15">
      <c r="A51" s="35">
        <v>43070</v>
      </c>
      <c r="B51" s="85">
        <f t="shared" si="6"/>
        <v>854702.63</v>
      </c>
      <c r="C51" s="36"/>
      <c r="D51" s="37" t="s">
        <v>47</v>
      </c>
      <c r="E51" s="39">
        <v>0.17</v>
      </c>
      <c r="F51" s="96">
        <f t="shared" si="7"/>
        <v>145299.45</v>
      </c>
      <c r="G51" s="82">
        <v>1000002.08</v>
      </c>
      <c r="H51" s="22"/>
      <c r="I51" s="107"/>
      <c r="J51" s="56"/>
      <c r="K51" s="108" t="s">
        <v>51</v>
      </c>
      <c r="L51" s="53" t="s">
        <v>45</v>
      </c>
      <c r="M51" s="54"/>
      <c r="N51" s="54"/>
      <c r="O51" s="53"/>
    </row>
    <row r="52" s="1" customFormat="1" ht="18" customHeight="1" spans="1:15">
      <c r="A52" s="35">
        <v>43070</v>
      </c>
      <c r="B52" s="85">
        <f t="shared" si="6"/>
        <v>1367521.37</v>
      </c>
      <c r="C52" s="36"/>
      <c r="D52" s="37" t="s">
        <v>47</v>
      </c>
      <c r="E52" s="39">
        <v>0.17</v>
      </c>
      <c r="F52" s="96">
        <f t="shared" si="7"/>
        <v>232478.63</v>
      </c>
      <c r="G52" s="82">
        <v>1600000</v>
      </c>
      <c r="H52" s="22"/>
      <c r="I52" s="107"/>
      <c r="J52" s="56"/>
      <c r="K52" s="108" t="s">
        <v>52</v>
      </c>
      <c r="L52" s="53" t="s">
        <v>45</v>
      </c>
      <c r="M52" s="54"/>
      <c r="N52" s="54"/>
      <c r="O52" s="53"/>
    </row>
    <row r="53" s="1" customFormat="1" ht="18" customHeight="1" spans="1:15">
      <c r="A53" s="35">
        <v>43101</v>
      </c>
      <c r="B53" s="85">
        <f t="shared" si="6"/>
        <v>794250</v>
      </c>
      <c r="C53" s="36"/>
      <c r="D53" s="37"/>
      <c r="E53" s="39"/>
      <c r="F53" s="85">
        <f t="shared" si="7"/>
        <v>0</v>
      </c>
      <c r="G53" s="82">
        <v>794250</v>
      </c>
      <c r="H53" s="22"/>
      <c r="I53" s="107"/>
      <c r="J53" s="56"/>
      <c r="K53" s="108" t="s">
        <v>36</v>
      </c>
      <c r="L53" s="53" t="s">
        <v>63</v>
      </c>
      <c r="M53" s="54"/>
      <c r="N53" s="54"/>
      <c r="O53" s="53"/>
    </row>
    <row r="54" s="1" customFormat="1" ht="18" customHeight="1" spans="1:15">
      <c r="A54" s="35">
        <v>43101</v>
      </c>
      <c r="B54" s="85">
        <f t="shared" si="6"/>
        <v>0</v>
      </c>
      <c r="C54" s="36"/>
      <c r="D54" s="37"/>
      <c r="E54" s="39"/>
      <c r="F54" s="85">
        <f t="shared" si="7"/>
        <v>0</v>
      </c>
      <c r="G54" s="82"/>
      <c r="H54" s="22" t="s">
        <v>64</v>
      </c>
      <c r="I54" s="107">
        <v>2048410.05</v>
      </c>
      <c r="J54" s="56" t="s">
        <v>50</v>
      </c>
      <c r="K54" s="108" t="s">
        <v>36</v>
      </c>
      <c r="L54" s="53"/>
      <c r="M54" s="54"/>
      <c r="N54" s="54"/>
      <c r="O54" s="53"/>
    </row>
    <row r="55" s="1" customFormat="1" ht="18" customHeight="1" spans="1:15">
      <c r="A55" s="35">
        <v>43101</v>
      </c>
      <c r="B55" s="85">
        <f t="shared" si="6"/>
        <v>791200</v>
      </c>
      <c r="C55" s="36"/>
      <c r="D55" s="37"/>
      <c r="E55" s="39"/>
      <c r="F55" s="85">
        <f t="shared" si="7"/>
        <v>0</v>
      </c>
      <c r="G55" s="82">
        <v>791200</v>
      </c>
      <c r="H55" s="22"/>
      <c r="I55" s="107"/>
      <c r="J55" s="56"/>
      <c r="K55" s="108" t="s">
        <v>36</v>
      </c>
      <c r="L55" s="53" t="s">
        <v>65</v>
      </c>
      <c r="M55" s="54"/>
      <c r="N55" s="54"/>
      <c r="O55" s="53"/>
    </row>
    <row r="56" s="1" customFormat="1" ht="18" customHeight="1" spans="1:15">
      <c r="A56" s="35"/>
      <c r="B56" s="85">
        <f t="shared" si="6"/>
        <v>0</v>
      </c>
      <c r="C56" s="36"/>
      <c r="D56" s="37"/>
      <c r="E56" s="39"/>
      <c r="F56" s="85">
        <f t="shared" si="7"/>
        <v>0</v>
      </c>
      <c r="G56" s="82"/>
      <c r="H56" s="22" t="s">
        <v>64</v>
      </c>
      <c r="I56" s="107">
        <v>500000</v>
      </c>
      <c r="J56" s="56" t="s">
        <v>50</v>
      </c>
      <c r="K56" s="108" t="s">
        <v>36</v>
      </c>
      <c r="L56" s="53"/>
      <c r="M56" s="54"/>
      <c r="N56" s="54"/>
      <c r="O56" s="53"/>
    </row>
    <row r="57" s="1" customFormat="1" ht="18" customHeight="1" spans="1:15">
      <c r="A57" s="35">
        <v>43132</v>
      </c>
      <c r="B57" s="85">
        <f t="shared" si="6"/>
        <v>798000</v>
      </c>
      <c r="C57" s="36"/>
      <c r="D57" s="37"/>
      <c r="E57" s="39"/>
      <c r="F57" s="85">
        <f t="shared" si="7"/>
        <v>0</v>
      </c>
      <c r="G57" s="82">
        <v>798000</v>
      </c>
      <c r="H57" s="22" t="s">
        <v>66</v>
      </c>
      <c r="I57" s="107">
        <v>798000</v>
      </c>
      <c r="J57" s="56" t="s">
        <v>50</v>
      </c>
      <c r="K57" s="108" t="s">
        <v>36</v>
      </c>
      <c r="L57" s="53" t="s">
        <v>65</v>
      </c>
      <c r="M57" s="54"/>
      <c r="N57" s="54"/>
      <c r="O57" s="53"/>
    </row>
    <row r="58" s="1" customFormat="1" ht="18" customHeight="1" spans="1:15">
      <c r="A58" s="35">
        <v>43132</v>
      </c>
      <c r="B58" s="85">
        <f t="shared" si="6"/>
        <v>796000</v>
      </c>
      <c r="C58" s="36"/>
      <c r="D58" s="37"/>
      <c r="E58" s="39"/>
      <c r="F58" s="85">
        <f t="shared" si="7"/>
        <v>0</v>
      </c>
      <c r="G58" s="82">
        <v>796000</v>
      </c>
      <c r="H58" s="22" t="s">
        <v>66</v>
      </c>
      <c r="I58" s="107">
        <v>796000</v>
      </c>
      <c r="J58" s="56" t="s">
        <v>50</v>
      </c>
      <c r="K58" s="108" t="s">
        <v>36</v>
      </c>
      <c r="L58" s="53"/>
      <c r="M58" s="54"/>
      <c r="N58" s="54"/>
      <c r="O58" s="53"/>
    </row>
    <row r="59" s="1" customFormat="1" ht="18" customHeight="1" spans="1:15">
      <c r="A59" s="35">
        <v>43922</v>
      </c>
      <c r="B59" s="85">
        <f t="shared" si="6"/>
        <v>1424000</v>
      </c>
      <c r="C59" s="36"/>
      <c r="D59" s="37"/>
      <c r="E59" s="39"/>
      <c r="F59" s="85">
        <f t="shared" si="7"/>
        <v>0</v>
      </c>
      <c r="G59" s="82">
        <v>1424000</v>
      </c>
      <c r="H59" s="22"/>
      <c r="I59" s="107"/>
      <c r="J59" s="56"/>
      <c r="K59" s="108" t="s">
        <v>67</v>
      </c>
      <c r="L59" s="53" t="s">
        <v>68</v>
      </c>
      <c r="M59" s="54" t="s">
        <v>69</v>
      </c>
      <c r="N59" s="54"/>
      <c r="O59" s="53"/>
    </row>
    <row r="60" s="1" customFormat="1" ht="18" customHeight="1" spans="1:15">
      <c r="A60" s="35">
        <v>43922</v>
      </c>
      <c r="B60" s="85">
        <f t="shared" si="6"/>
        <v>1590000</v>
      </c>
      <c r="C60" s="36"/>
      <c r="D60" s="37"/>
      <c r="E60" s="39"/>
      <c r="F60" s="85">
        <f t="shared" si="7"/>
        <v>0</v>
      </c>
      <c r="G60" s="82">
        <v>1590000</v>
      </c>
      <c r="H60" s="22"/>
      <c r="I60" s="107"/>
      <c r="J60" s="56"/>
      <c r="K60" s="108" t="s">
        <v>70</v>
      </c>
      <c r="L60" s="53" t="s">
        <v>71</v>
      </c>
      <c r="M60" s="54" t="s">
        <v>69</v>
      </c>
      <c r="N60" s="54"/>
      <c r="O60" s="53"/>
    </row>
    <row r="61" s="1" customFormat="1" ht="18" customHeight="1" spans="1:15">
      <c r="A61" s="35">
        <v>43922</v>
      </c>
      <c r="B61" s="85">
        <f t="shared" si="6"/>
        <v>185973.45</v>
      </c>
      <c r="C61" s="36"/>
      <c r="D61" s="37"/>
      <c r="E61" s="39">
        <v>0.13</v>
      </c>
      <c r="F61" s="85">
        <f t="shared" si="7"/>
        <v>24176.55</v>
      </c>
      <c r="G61" s="82">
        <v>210150</v>
      </c>
      <c r="H61" s="22"/>
      <c r="I61" s="107"/>
      <c r="J61" s="56"/>
      <c r="K61" s="108" t="s">
        <v>52</v>
      </c>
      <c r="L61" s="53" t="s">
        <v>72</v>
      </c>
      <c r="M61" s="53" t="s">
        <v>73</v>
      </c>
      <c r="N61" s="54"/>
      <c r="O61" s="53"/>
    </row>
    <row r="62" s="1" customFormat="1" ht="18" customHeight="1" spans="1:15">
      <c r="A62" s="35"/>
      <c r="B62" s="85">
        <f t="shared" si="6"/>
        <v>0</v>
      </c>
      <c r="C62" s="36"/>
      <c r="D62" s="37"/>
      <c r="E62" s="39"/>
      <c r="F62" s="85">
        <f t="shared" ref="F62:F72" si="8">ROUND(G62/(1+E62)*E62,2)</f>
        <v>0</v>
      </c>
      <c r="G62" s="82"/>
      <c r="H62" s="22" t="s">
        <v>74</v>
      </c>
      <c r="I62" s="107">
        <v>1000000</v>
      </c>
      <c r="J62" s="50" t="s">
        <v>50</v>
      </c>
      <c r="K62" s="100" t="s">
        <v>36</v>
      </c>
      <c r="L62" s="53"/>
      <c r="M62" s="54"/>
      <c r="N62" s="54"/>
      <c r="O62" s="53"/>
    </row>
    <row r="63" s="1" customFormat="1" ht="18" customHeight="1" spans="1:15">
      <c r="A63" s="35"/>
      <c r="B63" s="85">
        <f t="shared" si="6"/>
        <v>0</v>
      </c>
      <c r="C63" s="36"/>
      <c r="D63" s="37"/>
      <c r="E63" s="39"/>
      <c r="F63" s="85">
        <f t="shared" si="8"/>
        <v>0</v>
      </c>
      <c r="G63" s="82"/>
      <c r="H63" s="22">
        <v>43938</v>
      </c>
      <c r="I63" s="107">
        <v>500000</v>
      </c>
      <c r="J63" s="50"/>
      <c r="K63" s="118" t="s">
        <v>70</v>
      </c>
      <c r="L63" s="33" t="s">
        <v>71</v>
      </c>
      <c r="M63" s="54"/>
      <c r="N63" s="54"/>
      <c r="O63" s="53"/>
    </row>
    <row r="64" s="1" customFormat="1" ht="18" customHeight="1" spans="1:15">
      <c r="A64" s="35"/>
      <c r="B64" s="85">
        <f t="shared" si="6"/>
        <v>0</v>
      </c>
      <c r="C64" s="36"/>
      <c r="D64" s="37"/>
      <c r="E64" s="39"/>
      <c r="F64" s="85">
        <f t="shared" si="8"/>
        <v>0</v>
      </c>
      <c r="G64" s="82"/>
      <c r="H64" s="22">
        <v>43938</v>
      </c>
      <c r="I64" s="107">
        <v>239351.47</v>
      </c>
      <c r="J64" s="50"/>
      <c r="K64" s="118" t="s">
        <v>67</v>
      </c>
      <c r="L64" s="33" t="s">
        <v>68</v>
      </c>
      <c r="M64" s="54"/>
      <c r="N64" s="54"/>
      <c r="O64" s="53"/>
    </row>
    <row r="65" s="1" customFormat="1" ht="18" customHeight="1" spans="1:15">
      <c r="A65" s="119">
        <v>44348</v>
      </c>
      <c r="B65" s="120">
        <f t="shared" ref="B65:B74" si="9">ROUND(G65/(1+E65),2)</f>
        <v>438495.43</v>
      </c>
      <c r="C65" s="121" t="s">
        <v>75</v>
      </c>
      <c r="D65" s="121" t="s">
        <v>47</v>
      </c>
      <c r="E65" s="122">
        <v>0.13</v>
      </c>
      <c r="F65" s="120">
        <f t="shared" si="8"/>
        <v>57004.41</v>
      </c>
      <c r="G65" s="123">
        <v>495499.84</v>
      </c>
      <c r="H65" s="124"/>
      <c r="I65" s="126"/>
      <c r="J65" s="127"/>
      <c r="K65" s="128" t="s">
        <v>43</v>
      </c>
      <c r="L65" s="129" t="s">
        <v>45</v>
      </c>
      <c r="M65" s="127"/>
      <c r="N65" s="127"/>
      <c r="O65" s="129" t="s">
        <v>76</v>
      </c>
    </row>
    <row r="66" s="1" customFormat="1" ht="18" customHeight="1" spans="1:15">
      <c r="A66" s="35">
        <v>44348</v>
      </c>
      <c r="B66" s="85">
        <f t="shared" si="9"/>
        <v>4245.43</v>
      </c>
      <c r="C66" s="36" t="s">
        <v>75</v>
      </c>
      <c r="D66" s="36" t="s">
        <v>47</v>
      </c>
      <c r="E66" s="39">
        <v>0.06</v>
      </c>
      <c r="F66" s="85">
        <f t="shared" si="8"/>
        <v>254.73</v>
      </c>
      <c r="G66" s="82">
        <v>4500.16</v>
      </c>
      <c r="H66" s="22"/>
      <c r="I66" s="107"/>
      <c r="J66" s="50"/>
      <c r="K66" s="118" t="s">
        <v>43</v>
      </c>
      <c r="L66" s="33" t="s">
        <v>77</v>
      </c>
      <c r="M66" s="54"/>
      <c r="N66" s="54"/>
      <c r="O66" s="53"/>
    </row>
    <row r="67" s="1" customFormat="1" ht="18" customHeight="1" spans="1:15">
      <c r="A67" s="35"/>
      <c r="B67" s="85">
        <f t="shared" si="9"/>
        <v>0</v>
      </c>
      <c r="C67" s="36"/>
      <c r="D67" s="37"/>
      <c r="E67" s="39"/>
      <c r="F67" s="85">
        <f t="shared" si="8"/>
        <v>0</v>
      </c>
      <c r="G67" s="82"/>
      <c r="H67" s="22"/>
      <c r="I67" s="107"/>
      <c r="J67" s="50"/>
      <c r="K67" s="118"/>
      <c r="L67" s="33"/>
      <c r="M67" s="54"/>
      <c r="N67" s="54"/>
      <c r="O67" s="53"/>
    </row>
    <row r="68" s="1" customFormat="1" ht="18" customHeight="1" spans="1:15">
      <c r="A68" s="35"/>
      <c r="B68" s="85">
        <f t="shared" si="9"/>
        <v>0</v>
      </c>
      <c r="C68" s="36"/>
      <c r="D68" s="37"/>
      <c r="E68" s="39"/>
      <c r="F68" s="85">
        <f t="shared" si="8"/>
        <v>0</v>
      </c>
      <c r="G68" s="82"/>
      <c r="H68" s="22"/>
      <c r="I68" s="107"/>
      <c r="J68" s="50"/>
      <c r="K68" s="118"/>
      <c r="L68" s="33"/>
      <c r="M68" s="54"/>
      <c r="N68" s="54"/>
      <c r="O68" s="53"/>
    </row>
    <row r="69" s="1" customFormat="1" ht="18" customHeight="1" spans="1:15">
      <c r="A69" s="35"/>
      <c r="B69" s="85">
        <f t="shared" si="9"/>
        <v>0</v>
      </c>
      <c r="C69" s="36"/>
      <c r="D69" s="37"/>
      <c r="E69" s="39"/>
      <c r="F69" s="85">
        <f t="shared" si="8"/>
        <v>0</v>
      </c>
      <c r="G69" s="82"/>
      <c r="H69" s="22"/>
      <c r="I69" s="107"/>
      <c r="J69" s="50"/>
      <c r="K69" s="118"/>
      <c r="L69" s="33"/>
      <c r="M69" s="54"/>
      <c r="N69" s="54"/>
      <c r="O69" s="53"/>
    </row>
    <row r="70" s="1" customFormat="1" ht="18" customHeight="1" spans="1:15">
      <c r="A70" s="35"/>
      <c r="B70" s="85">
        <f t="shared" si="9"/>
        <v>0</v>
      </c>
      <c r="C70" s="36"/>
      <c r="D70" s="37"/>
      <c r="E70" s="39"/>
      <c r="F70" s="85">
        <f t="shared" si="8"/>
        <v>0</v>
      </c>
      <c r="G70" s="82"/>
      <c r="H70" s="22"/>
      <c r="I70" s="107"/>
      <c r="J70" s="50"/>
      <c r="K70" s="118"/>
      <c r="L70" s="33"/>
      <c r="M70" s="54"/>
      <c r="N70" s="54"/>
      <c r="O70" s="53"/>
    </row>
    <row r="71" s="1" customFormat="1" ht="18" customHeight="1" spans="1:15">
      <c r="A71" s="35"/>
      <c r="B71" s="85">
        <f t="shared" si="9"/>
        <v>0</v>
      </c>
      <c r="C71" s="36"/>
      <c r="D71" s="37"/>
      <c r="E71" s="39"/>
      <c r="F71" s="85">
        <f t="shared" si="8"/>
        <v>0</v>
      </c>
      <c r="G71" s="82"/>
      <c r="H71" s="22"/>
      <c r="I71" s="107"/>
      <c r="J71" s="50"/>
      <c r="K71" s="118"/>
      <c r="L71" s="33"/>
      <c r="M71" s="54"/>
      <c r="N71" s="54"/>
      <c r="O71" s="53"/>
    </row>
    <row r="72" s="1" customFormat="1" ht="18" customHeight="1" spans="1:15">
      <c r="A72" s="35"/>
      <c r="B72" s="85">
        <f t="shared" si="9"/>
        <v>0</v>
      </c>
      <c r="C72" s="36"/>
      <c r="D72" s="37"/>
      <c r="E72" s="39"/>
      <c r="F72" s="85">
        <f t="shared" si="8"/>
        <v>0</v>
      </c>
      <c r="G72" s="82"/>
      <c r="H72" s="22"/>
      <c r="I72" s="107"/>
      <c r="J72" s="50"/>
      <c r="K72" s="118"/>
      <c r="L72" s="33"/>
      <c r="M72" s="54"/>
      <c r="N72" s="54"/>
      <c r="O72" s="53"/>
    </row>
    <row r="73" s="1" customFormat="1" ht="18" customHeight="1" spans="1:15">
      <c r="A73" s="35"/>
      <c r="B73" s="85">
        <f t="shared" si="9"/>
        <v>0</v>
      </c>
      <c r="C73" s="36"/>
      <c r="D73" s="37"/>
      <c r="E73" s="39"/>
      <c r="F73" s="85"/>
      <c r="G73" s="82"/>
      <c r="H73" s="22"/>
      <c r="I73" s="107"/>
      <c r="J73" s="50"/>
      <c r="K73" s="130"/>
      <c r="L73" s="33"/>
      <c r="M73" s="54"/>
      <c r="N73" s="54"/>
      <c r="O73" s="53"/>
    </row>
    <row r="74" s="1" customFormat="1" ht="18" customHeight="1" spans="1:15">
      <c r="A74" s="35"/>
      <c r="B74" s="85">
        <f t="shared" si="9"/>
        <v>0</v>
      </c>
      <c r="C74" s="36"/>
      <c r="D74" s="37"/>
      <c r="E74" s="39"/>
      <c r="F74" s="85"/>
      <c r="G74" s="82"/>
      <c r="H74" s="22" t="s">
        <v>78</v>
      </c>
      <c r="I74" s="107">
        <v>200</v>
      </c>
      <c r="J74" s="50" t="s">
        <v>79</v>
      </c>
      <c r="K74" s="130" t="s">
        <v>80</v>
      </c>
      <c r="L74" s="33"/>
      <c r="M74" s="54"/>
      <c r="N74" s="54"/>
      <c r="O74" s="53"/>
    </row>
    <row r="75" s="1" customFormat="1" ht="24" customHeight="1" spans="1:15">
      <c r="A75" s="35"/>
      <c r="B75" s="85"/>
      <c r="C75" s="36"/>
      <c r="D75" s="37"/>
      <c r="E75" s="39"/>
      <c r="F75" s="85"/>
      <c r="G75" s="82"/>
      <c r="H75" s="22" t="s">
        <v>78</v>
      </c>
      <c r="I75" s="12">
        <v>726400</v>
      </c>
      <c r="J75" s="50" t="s">
        <v>79</v>
      </c>
      <c r="K75" s="130" t="s">
        <v>81</v>
      </c>
      <c r="L75" s="33"/>
      <c r="M75" s="54"/>
      <c r="N75" s="54"/>
      <c r="O75" s="53"/>
    </row>
    <row r="76" s="1" customFormat="1" ht="18" customHeight="1" spans="1:15">
      <c r="A76" s="35"/>
      <c r="B76" s="85"/>
      <c r="C76" s="36"/>
      <c r="D76" s="37"/>
      <c r="E76" s="39"/>
      <c r="F76" s="85"/>
      <c r="G76" s="82"/>
      <c r="H76" s="22" t="s">
        <v>78</v>
      </c>
      <c r="I76" s="12">
        <v>273600</v>
      </c>
      <c r="J76" s="50" t="s">
        <v>79</v>
      </c>
      <c r="K76" s="130" t="s">
        <v>82</v>
      </c>
      <c r="L76" s="33"/>
      <c r="M76" s="54"/>
      <c r="N76" s="54"/>
      <c r="O76" s="53"/>
    </row>
    <row r="77" s="1" customFormat="1" ht="18" customHeight="1" spans="1:15">
      <c r="A77" s="35"/>
      <c r="B77" s="85"/>
      <c r="C77" s="36"/>
      <c r="D77" s="37"/>
      <c r="E77" s="39"/>
      <c r="F77" s="85"/>
      <c r="G77" s="82"/>
      <c r="H77" s="22" t="s">
        <v>78</v>
      </c>
      <c r="I77" s="107">
        <v>1147361.73</v>
      </c>
      <c r="J77" s="50" t="s">
        <v>79</v>
      </c>
      <c r="K77" s="130" t="s">
        <v>83</v>
      </c>
      <c r="L77" s="33"/>
      <c r="M77" s="54"/>
      <c r="N77" s="54"/>
      <c r="O77" s="53"/>
    </row>
    <row r="78" s="1" customFormat="1" ht="32" customHeight="1" spans="1:15">
      <c r="A78" s="35"/>
      <c r="B78" s="85">
        <f>ROUND(G78/(1+E78),2)</f>
        <v>0</v>
      </c>
      <c r="C78" s="36"/>
      <c r="D78" s="37"/>
      <c r="E78" s="39"/>
      <c r="F78" s="85"/>
      <c r="G78" s="82"/>
      <c r="H78" s="22" t="s">
        <v>78</v>
      </c>
      <c r="I78" s="107">
        <v>896288.8</v>
      </c>
      <c r="J78" s="56" t="s">
        <v>79</v>
      </c>
      <c r="K78" s="118" t="s">
        <v>84</v>
      </c>
      <c r="L78" s="33"/>
      <c r="M78" s="54"/>
      <c r="N78" s="54"/>
      <c r="O78" s="53"/>
    </row>
    <row r="79" s="1" customFormat="1" ht="18" customHeight="1" spans="1:15">
      <c r="A79" s="35"/>
      <c r="B79" s="85">
        <f>ROUND(G79/(1+E79),2)</f>
        <v>0</v>
      </c>
      <c r="C79" s="36"/>
      <c r="D79" s="37"/>
      <c r="E79" s="39"/>
      <c r="F79" s="85"/>
      <c r="G79" s="82"/>
      <c r="H79" s="22" t="s">
        <v>78</v>
      </c>
      <c r="I79" s="12">
        <v>120698</v>
      </c>
      <c r="J79" s="50" t="s">
        <v>79</v>
      </c>
      <c r="K79" s="100" t="s">
        <v>85</v>
      </c>
      <c r="L79" s="53"/>
      <c r="M79" s="54"/>
      <c r="N79" s="54"/>
      <c r="O79" s="53"/>
    </row>
    <row r="80" s="1" customFormat="1" ht="18" customHeight="1" spans="1:15">
      <c r="A80" s="35"/>
      <c r="B80" s="85">
        <f>ROUND(G80/(1+E80),2)</f>
        <v>0</v>
      </c>
      <c r="C80" s="36"/>
      <c r="D80" s="37"/>
      <c r="E80" s="39"/>
      <c r="F80" s="85">
        <f>ROUND(G80/(1+E80)*E80,2)</f>
        <v>0</v>
      </c>
      <c r="G80" s="82"/>
      <c r="H80" s="22" t="s">
        <v>78</v>
      </c>
      <c r="I80" s="12">
        <v>44600</v>
      </c>
      <c r="J80" s="50" t="s">
        <v>86</v>
      </c>
      <c r="K80" s="100" t="s">
        <v>87</v>
      </c>
      <c r="L80" s="53"/>
      <c r="M80" s="54"/>
      <c r="N80" s="54"/>
      <c r="O80" s="53"/>
    </row>
    <row r="81" s="1" customFormat="1" ht="18" customHeight="1" spans="1:15">
      <c r="A81" s="35"/>
      <c r="B81" s="85">
        <f>ROUND(G81/(1+E81),2)</f>
        <v>0</v>
      </c>
      <c r="C81" s="36"/>
      <c r="D81" s="37"/>
      <c r="E81" s="39"/>
      <c r="F81" s="85">
        <f>ROUND(G81/(1+E81)*E81,2)</f>
        <v>0</v>
      </c>
      <c r="G81" s="82"/>
      <c r="H81" s="22" t="s">
        <v>78</v>
      </c>
      <c r="I81" s="12">
        <v>148700</v>
      </c>
      <c r="J81" s="50" t="s">
        <v>79</v>
      </c>
      <c r="K81" s="100" t="s">
        <v>88</v>
      </c>
      <c r="L81" s="53"/>
      <c r="M81" s="54"/>
      <c r="N81" s="54"/>
      <c r="O81" s="53"/>
    </row>
    <row r="82" s="1" customFormat="1" ht="18" customHeight="1" spans="1:15">
      <c r="A82" s="35"/>
      <c r="B82" s="85">
        <f t="shared" ref="B82:B87" si="10">ROUND(G82/(1+E82),2)</f>
        <v>89200</v>
      </c>
      <c r="C82" s="36"/>
      <c r="D82" s="37"/>
      <c r="E82" s="39"/>
      <c r="F82" s="85">
        <f t="shared" ref="F82:F87" si="11">ROUND(G82/(1+E82)*E82,2)</f>
        <v>0</v>
      </c>
      <c r="G82" s="82">
        <f>42600+46600</f>
        <v>89200</v>
      </c>
      <c r="H82" s="22" t="s">
        <v>78</v>
      </c>
      <c r="I82" s="12">
        <f>G82</f>
        <v>89200</v>
      </c>
      <c r="J82" s="50" t="s">
        <v>79</v>
      </c>
      <c r="K82" s="100" t="s">
        <v>89</v>
      </c>
      <c r="L82" s="53"/>
      <c r="M82" s="54"/>
      <c r="N82" s="54"/>
      <c r="O82" s="53"/>
    </row>
    <row r="83" s="1" customFormat="1" ht="18" customHeight="1" spans="1:15">
      <c r="A83" s="35"/>
      <c r="B83" s="85">
        <f t="shared" si="10"/>
        <v>0</v>
      </c>
      <c r="C83" s="36"/>
      <c r="D83" s="37"/>
      <c r="E83" s="39"/>
      <c r="F83" s="85">
        <f t="shared" si="11"/>
        <v>0</v>
      </c>
      <c r="G83" s="82"/>
      <c r="H83" s="22"/>
      <c r="I83" s="12">
        <v>4000</v>
      </c>
      <c r="J83" s="50" t="s">
        <v>79</v>
      </c>
      <c r="K83" s="100" t="s">
        <v>90</v>
      </c>
      <c r="L83" s="53"/>
      <c r="M83" s="54"/>
      <c r="N83" s="54"/>
      <c r="O83" s="53"/>
    </row>
    <row r="84" s="1" customFormat="1" ht="18" customHeight="1" spans="1:15">
      <c r="A84" s="35"/>
      <c r="B84" s="85">
        <f t="shared" si="10"/>
        <v>0</v>
      </c>
      <c r="C84" s="36"/>
      <c r="D84" s="37"/>
      <c r="E84" s="39"/>
      <c r="F84" s="85">
        <f t="shared" si="11"/>
        <v>0</v>
      </c>
      <c r="G84" s="82"/>
      <c r="H84" s="22"/>
      <c r="I84" s="12">
        <v>231589.95</v>
      </c>
      <c r="J84" s="50" t="s">
        <v>79</v>
      </c>
      <c r="K84" s="100" t="s">
        <v>85</v>
      </c>
      <c r="L84" s="53"/>
      <c r="M84" s="54"/>
      <c r="N84" s="54"/>
      <c r="O84" s="53"/>
    </row>
    <row r="85" s="1" customFormat="1" ht="18" customHeight="1" spans="1:15">
      <c r="A85" s="35"/>
      <c r="B85" s="85">
        <f t="shared" si="10"/>
        <v>159600</v>
      </c>
      <c r="C85" s="36"/>
      <c r="D85" s="37"/>
      <c r="E85" s="38"/>
      <c r="F85" s="85">
        <f t="shared" si="11"/>
        <v>0</v>
      </c>
      <c r="G85" s="82">
        <v>159600</v>
      </c>
      <c r="H85" s="22"/>
      <c r="I85" s="131">
        <v>159600</v>
      </c>
      <c r="J85" s="50" t="s">
        <v>79</v>
      </c>
      <c r="K85" s="100" t="s">
        <v>89</v>
      </c>
      <c r="L85" s="53"/>
      <c r="M85" s="54"/>
      <c r="N85" s="54"/>
      <c r="O85" s="53"/>
    </row>
    <row r="86" ht="18" customHeight="1" spans="1:15">
      <c r="A86" s="30" t="s">
        <v>22</v>
      </c>
      <c r="B86" s="83">
        <f>SUM(B24:B85)</f>
        <v>11671827.08</v>
      </c>
      <c r="C86" s="30"/>
      <c r="D86" s="65"/>
      <c r="E86" s="65"/>
      <c r="F86" s="84">
        <f>SUM(F24:F85)</f>
        <v>694623.4</v>
      </c>
      <c r="G86" s="125">
        <f>SUM(G24:G85)</f>
        <v>12366450.48</v>
      </c>
      <c r="H86" s="67"/>
      <c r="I86" s="30">
        <f>SUM(I24:I85)</f>
        <v>12440000</v>
      </c>
      <c r="J86" s="75"/>
      <c r="K86" s="132"/>
      <c r="L86" s="33"/>
      <c r="M86" s="50"/>
      <c r="N86" s="50"/>
      <c r="O86" s="33"/>
    </row>
    <row r="87" ht="18" customHeight="1" spans="1:14">
      <c r="A87" s="68" t="s">
        <v>91</v>
      </c>
      <c r="B87" s="68">
        <f>B21-B86</f>
        <v>-390894.771544755</v>
      </c>
      <c r="C87" s="68"/>
      <c r="D87" s="70"/>
      <c r="E87" s="70"/>
      <c r="F87" s="69"/>
      <c r="G87" s="68">
        <f>G21-G86</f>
        <v>73549.5199999996</v>
      </c>
      <c r="H87" s="21" t="s">
        <v>92</v>
      </c>
      <c r="I87" s="30">
        <f>I21-I86</f>
        <v>0</v>
      </c>
      <c r="J87" s="7"/>
      <c r="K87" s="133"/>
      <c r="M87" s="77"/>
      <c r="N87" s="77"/>
    </row>
    <row r="88" ht="18" customHeight="1" spans="1:3">
      <c r="A88" s="3" t="s">
        <v>93</v>
      </c>
      <c r="C88" s="3"/>
    </row>
    <row r="89" ht="18" customHeight="1" spans="1:8">
      <c r="A89" s="21" t="s">
        <v>94</v>
      </c>
      <c r="B89" s="20" t="s">
        <v>95</v>
      </c>
      <c r="C89" s="33"/>
      <c r="D89" s="21" t="s">
        <v>94</v>
      </c>
      <c r="E89" s="19" t="s">
        <v>16</v>
      </c>
      <c r="F89" s="20" t="s">
        <v>95</v>
      </c>
      <c r="G89" s="23" t="s">
        <v>96</v>
      </c>
      <c r="H89" s="20" t="s">
        <v>97</v>
      </c>
    </row>
    <row r="90" ht="18" customHeight="1" spans="1:8">
      <c r="A90" s="33" t="s">
        <v>98</v>
      </c>
      <c r="B90" s="17">
        <f>(B21-B86)*0.25</f>
        <v>-97723.6928861886</v>
      </c>
      <c r="C90" s="33"/>
      <c r="D90" s="10" t="s">
        <v>85</v>
      </c>
      <c r="E90" s="50" t="s">
        <v>99</v>
      </c>
      <c r="F90" s="84">
        <f>F21-F86</f>
        <v>238825.645375651</v>
      </c>
      <c r="G90" s="84">
        <f>(F7+F8+F9+F10+F11+F12+F13)-(F32+F35+F40)</f>
        <v>210536.315945946</v>
      </c>
      <c r="H90" s="84">
        <f>SUM(F14:F16)-SUM(F51:F52)</f>
        <v>109725.019429705</v>
      </c>
    </row>
    <row r="91" ht="18" customHeight="1" spans="1:8">
      <c r="A91" s="33" t="s">
        <v>100</v>
      </c>
      <c r="B91" s="72" t="s">
        <v>101</v>
      </c>
      <c r="C91" s="33"/>
      <c r="D91" s="73" t="s">
        <v>102</v>
      </c>
      <c r="E91" s="14">
        <v>0.07</v>
      </c>
      <c r="F91" s="12">
        <f>F90*E91</f>
        <v>16717.7951762956</v>
      </c>
      <c r="G91" s="12">
        <f>G90*0.05</f>
        <v>10526.8157972973</v>
      </c>
      <c r="H91" s="12">
        <f>H90*0.05</f>
        <v>5486.25097148524</v>
      </c>
    </row>
    <row r="92" ht="18" customHeight="1" spans="1:8">
      <c r="A92" s="33" t="s">
        <v>103</v>
      </c>
      <c r="B92" s="72" t="s">
        <v>101</v>
      </c>
      <c r="C92" s="33"/>
      <c r="D92" s="73" t="s">
        <v>104</v>
      </c>
      <c r="E92" s="14">
        <v>0.03</v>
      </c>
      <c r="F92" s="12">
        <f>F90*E92</f>
        <v>7164.76936126952</v>
      </c>
      <c r="G92" s="12">
        <f>G90*0.03</f>
        <v>6316.08947837838</v>
      </c>
      <c r="H92" s="12">
        <f>H90*E92</f>
        <v>3291.75058289115</v>
      </c>
    </row>
    <row r="93" ht="18" customHeight="1" spans="1:8">
      <c r="A93" s="33"/>
      <c r="B93" s="23"/>
      <c r="C93" s="33"/>
      <c r="D93" s="73" t="s">
        <v>105</v>
      </c>
      <c r="E93" s="14">
        <v>0.02</v>
      </c>
      <c r="F93" s="12">
        <f>F90*E93</f>
        <v>4776.51290751301</v>
      </c>
      <c r="G93" s="12">
        <f>G90*0.02</f>
        <v>4210.72631891892</v>
      </c>
      <c r="H93" s="12">
        <f>H90*E93</f>
        <v>2194.5003885941</v>
      </c>
    </row>
    <row r="94" ht="18" customHeight="1" spans="1:8">
      <c r="A94" s="28" t="s">
        <v>106</v>
      </c>
      <c r="B94" s="29">
        <f>SUM(B90:B93)</f>
        <v>-97723.6928861886</v>
      </c>
      <c r="C94" s="33"/>
      <c r="D94" s="28" t="s">
        <v>106</v>
      </c>
      <c r="E94" s="28"/>
      <c r="F94" s="84">
        <f>SUM(F90:F93)</f>
        <v>267484.722820729</v>
      </c>
      <c r="G94" s="84">
        <f>SUM(G90:G93)</f>
        <v>231589.947540541</v>
      </c>
      <c r="H94" s="84">
        <f>SUM(H90:H93)</f>
        <v>120697.521372675</v>
      </c>
    </row>
    <row r="95" ht="18" customHeight="1" spans="3:8">
      <c r="C95" s="3"/>
      <c r="D95" s="33" t="s">
        <v>100</v>
      </c>
      <c r="E95" s="12"/>
      <c r="F95" s="12">
        <f>G21*0.0003</f>
        <v>3732</v>
      </c>
      <c r="G95" s="23"/>
      <c r="H95" s="12"/>
    </row>
    <row r="96" ht="18" customHeight="1" spans="3:8">
      <c r="C96" s="3"/>
      <c r="D96" s="33" t="s">
        <v>103</v>
      </c>
      <c r="E96" s="12"/>
      <c r="F96" s="12">
        <f>B21*0.0006</f>
        <v>6768.55938507315</v>
      </c>
      <c r="G96" s="23"/>
      <c r="H96" s="12"/>
    </row>
    <row r="97" ht="18" customHeight="1" spans="3:8">
      <c r="C97" s="3"/>
      <c r="D97" s="30" t="s">
        <v>106</v>
      </c>
      <c r="E97" s="30"/>
      <c r="F97" s="30">
        <f>SUM(F95:F96)</f>
        <v>10500.5593850731</v>
      </c>
      <c r="G97" s="23"/>
      <c r="H97" s="12"/>
    </row>
    <row r="98" ht="18" customHeight="1" spans="3:3">
      <c r="C98" s="3"/>
    </row>
    <row r="99" spans="3:3">
      <c r="C99" s="3"/>
    </row>
    <row r="100" spans="3:3">
      <c r="C100" s="3"/>
    </row>
    <row r="101" spans="3:3">
      <c r="C101" s="3"/>
    </row>
    <row r="102" spans="3:3">
      <c r="C102" s="3"/>
    </row>
    <row r="103" spans="3:3">
      <c r="C103" s="3"/>
    </row>
    <row r="104" spans="3:3">
      <c r="C104" s="3"/>
    </row>
    <row r="105" spans="3:3">
      <c r="C105" s="3"/>
    </row>
    <row r="106" spans="3:3">
      <c r="C106" s="3"/>
    </row>
    <row r="107" spans="3:3">
      <c r="C107" s="3"/>
    </row>
    <row r="108" spans="3:3">
      <c r="C108" s="3"/>
    </row>
    <row r="109" spans="3:3">
      <c r="C109" s="3"/>
    </row>
    <row r="110" spans="3:3">
      <c r="C110" s="3"/>
    </row>
    <row r="111" spans="3:3">
      <c r="C111" s="3"/>
    </row>
    <row r="112" spans="3:3">
      <c r="C112" s="3"/>
    </row>
    <row r="113" spans="3:3">
      <c r="C113" s="3"/>
    </row>
    <row r="114" spans="3:3">
      <c r="C114" s="3"/>
    </row>
  </sheetData>
  <autoFilter ref="A23:Q9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5"/>
  <sheetViews>
    <sheetView topLeftCell="A52" workbookViewId="0">
      <selection activeCell="F80" sqref="F80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4.125" style="4" customWidth="1"/>
    <col min="8" max="8" width="9.625" style="5" customWidth="1"/>
    <col min="9" max="9" width="13.875" style="4" customWidth="1"/>
    <col min="10" max="10" width="6.125" style="6" customWidth="1"/>
    <col min="11" max="11" width="31.5" style="7" customWidth="1"/>
    <col min="12" max="12" width="12.75" style="7" customWidth="1"/>
    <col min="13" max="13" width="6" style="7" customWidth="1"/>
    <col min="14" max="14" width="5.625" style="7" customWidth="1"/>
    <col min="15" max="16384" width="9" style="7"/>
  </cols>
  <sheetData>
    <row r="1" ht="21.95" customHeight="1" spans="1:12">
      <c r="A1" s="8" t="s">
        <v>107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ht="18" customHeight="1" spans="1:12">
      <c r="A2" s="10" t="s">
        <v>1</v>
      </c>
      <c r="B2" s="11">
        <v>42538</v>
      </c>
      <c r="C2" s="12" t="s">
        <v>2</v>
      </c>
      <c r="D2" s="13">
        <v>16679716</v>
      </c>
      <c r="E2" s="14" t="s">
        <v>3</v>
      </c>
      <c r="F2" s="12" t="s">
        <v>4</v>
      </c>
      <c r="G2" s="15" t="s">
        <v>5</v>
      </c>
      <c r="H2" s="16" t="s">
        <v>6</v>
      </c>
      <c r="I2" s="47"/>
      <c r="J2" s="48"/>
      <c r="K2" s="18"/>
      <c r="L2" s="18"/>
    </row>
    <row r="3" ht="18" customHeight="1" spans="1:12">
      <c r="A3" s="10" t="s">
        <v>7</v>
      </c>
      <c r="B3" s="17"/>
      <c r="C3" s="12" t="s">
        <v>8</v>
      </c>
      <c r="D3" s="12"/>
      <c r="H3" s="18"/>
      <c r="I3" s="49"/>
      <c r="J3" s="18"/>
      <c r="K3" s="18"/>
      <c r="L3" s="18"/>
    </row>
    <row r="4" ht="18" customHeight="1" spans="1:12">
      <c r="A4" s="3" t="s">
        <v>9</v>
      </c>
      <c r="H4" s="18"/>
      <c r="I4" s="49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42853</v>
      </c>
      <c r="B7" s="23">
        <f>G7/(1+C7+E7)</f>
        <v>306306.306306306</v>
      </c>
      <c r="C7" s="24">
        <v>0.02</v>
      </c>
      <c r="D7" s="25">
        <f>G7/(1+E7+C7)*C7</f>
        <v>6126.12612612613</v>
      </c>
      <c r="E7" s="26">
        <v>0.09</v>
      </c>
      <c r="F7" s="23">
        <f>G7/(1+C7+E7)*E7</f>
        <v>27567.5675675676</v>
      </c>
      <c r="G7" s="27">
        <v>340000</v>
      </c>
      <c r="H7" s="22">
        <v>42865</v>
      </c>
      <c r="I7" s="23">
        <v>340000</v>
      </c>
      <c r="J7" s="50" t="s">
        <v>21</v>
      </c>
    </row>
    <row r="8" ht="18" customHeight="1" spans="1:10">
      <c r="A8" s="22">
        <v>42853</v>
      </c>
      <c r="B8" s="23">
        <f t="shared" ref="B8:B20" si="0">G8/(1+C8+E8)</f>
        <v>207207.207207207</v>
      </c>
      <c r="C8" s="24">
        <v>0.02</v>
      </c>
      <c r="D8" s="25">
        <f t="shared" ref="D8:D20" si="1">G8/(1+E8+C8)*C8</f>
        <v>4144.14414414414</v>
      </c>
      <c r="E8" s="26">
        <v>0.09</v>
      </c>
      <c r="F8" s="23">
        <f t="shared" ref="F8:F20" si="2">G8/(1+C8+E8)*E8</f>
        <v>18648.6486486486</v>
      </c>
      <c r="G8" s="27">
        <v>230000</v>
      </c>
      <c r="H8" s="22">
        <v>42865</v>
      </c>
      <c r="I8" s="23">
        <v>230000</v>
      </c>
      <c r="J8" s="50" t="s">
        <v>21</v>
      </c>
    </row>
    <row r="9" ht="18" customHeight="1" spans="1:10">
      <c r="A9" s="22">
        <v>42874</v>
      </c>
      <c r="B9" s="23">
        <f t="shared" si="0"/>
        <v>1153153.15315315</v>
      </c>
      <c r="C9" s="24">
        <v>0.02</v>
      </c>
      <c r="D9" s="25">
        <f t="shared" si="1"/>
        <v>23063.0630630631</v>
      </c>
      <c r="E9" s="26">
        <v>0.09</v>
      </c>
      <c r="F9" s="23">
        <f t="shared" si="2"/>
        <v>103783.783783784</v>
      </c>
      <c r="G9" s="27">
        <v>1280000</v>
      </c>
      <c r="H9" s="22">
        <v>42914</v>
      </c>
      <c r="I9" s="23">
        <v>1350000</v>
      </c>
      <c r="J9" s="50" t="s">
        <v>21</v>
      </c>
    </row>
    <row r="10" ht="18" customHeight="1" spans="1:10">
      <c r="A10" s="22">
        <v>42874</v>
      </c>
      <c r="B10" s="23">
        <f t="shared" si="0"/>
        <v>63063.0630630631</v>
      </c>
      <c r="C10" s="24">
        <v>0.02</v>
      </c>
      <c r="D10" s="25">
        <f t="shared" si="1"/>
        <v>1261.26126126126</v>
      </c>
      <c r="E10" s="26">
        <v>0.09</v>
      </c>
      <c r="F10" s="23">
        <f t="shared" si="2"/>
        <v>5675.67567567567</v>
      </c>
      <c r="G10" s="27">
        <v>70000</v>
      </c>
      <c r="H10" s="22"/>
      <c r="I10" s="23"/>
      <c r="J10" s="50"/>
    </row>
    <row r="11" ht="18" customHeight="1" spans="1:10">
      <c r="A11" s="22">
        <v>42986</v>
      </c>
      <c r="B11" s="23">
        <f t="shared" si="0"/>
        <v>342342.342342342</v>
      </c>
      <c r="C11" s="24">
        <v>0.02</v>
      </c>
      <c r="D11" s="25">
        <f t="shared" si="1"/>
        <v>6846.84684684685</v>
      </c>
      <c r="E11" s="26">
        <v>0.09</v>
      </c>
      <c r="F11" s="23">
        <f t="shared" si="2"/>
        <v>30810.8108108108</v>
      </c>
      <c r="G11" s="27">
        <v>380000</v>
      </c>
      <c r="H11" s="22">
        <v>42986</v>
      </c>
      <c r="I11" s="23">
        <v>380000</v>
      </c>
      <c r="J11" s="50" t="s">
        <v>21</v>
      </c>
    </row>
    <row r="12" ht="18" customHeight="1" spans="1:10">
      <c r="A12" s="22">
        <v>42986</v>
      </c>
      <c r="B12" s="23">
        <f t="shared" si="0"/>
        <v>99099.0990990991</v>
      </c>
      <c r="C12" s="24">
        <v>0.02</v>
      </c>
      <c r="D12" s="25">
        <f t="shared" si="1"/>
        <v>1981.98198198198</v>
      </c>
      <c r="E12" s="26">
        <v>0.09</v>
      </c>
      <c r="F12" s="23">
        <f t="shared" si="2"/>
        <v>8918.91891891892</v>
      </c>
      <c r="G12" s="27">
        <v>110000</v>
      </c>
      <c r="H12" s="22">
        <v>42986</v>
      </c>
      <c r="I12" s="23">
        <v>110000</v>
      </c>
      <c r="J12" s="50" t="s">
        <v>21</v>
      </c>
    </row>
    <row r="13" ht="18" customHeight="1" spans="1:10">
      <c r="A13" s="22">
        <v>43040</v>
      </c>
      <c r="B13" s="23">
        <f t="shared" si="0"/>
        <v>2783783.78378378</v>
      </c>
      <c r="C13" s="24">
        <v>0.02</v>
      </c>
      <c r="D13" s="25">
        <f t="shared" si="1"/>
        <v>55675.6756756757</v>
      </c>
      <c r="E13" s="26">
        <v>0.09</v>
      </c>
      <c r="F13" s="23">
        <f t="shared" si="2"/>
        <v>250540.540540541</v>
      </c>
      <c r="G13" s="27">
        <v>3090000</v>
      </c>
      <c r="H13" s="22">
        <v>43068</v>
      </c>
      <c r="I13" s="23">
        <v>3090000</v>
      </c>
      <c r="J13" s="50" t="s">
        <v>21</v>
      </c>
    </row>
    <row r="14" ht="18" customHeight="1" spans="1:10">
      <c r="A14" s="22">
        <v>43138</v>
      </c>
      <c r="B14" s="23">
        <f t="shared" si="0"/>
        <v>2234234.23423423</v>
      </c>
      <c r="C14" s="24">
        <v>0.02</v>
      </c>
      <c r="D14" s="25">
        <f t="shared" si="1"/>
        <v>44684.6846846847</v>
      </c>
      <c r="E14" s="26">
        <v>0.09</v>
      </c>
      <c r="F14" s="23">
        <f t="shared" si="2"/>
        <v>201081.081081081</v>
      </c>
      <c r="G14" s="27">
        <v>2480000</v>
      </c>
      <c r="H14" s="22">
        <v>43139</v>
      </c>
      <c r="I14" s="23">
        <v>2480000</v>
      </c>
      <c r="J14" s="50" t="s">
        <v>21</v>
      </c>
    </row>
    <row r="15" ht="18" customHeight="1" spans="1:10">
      <c r="A15" s="22">
        <v>43836</v>
      </c>
      <c r="B15" s="23">
        <f t="shared" si="0"/>
        <v>2137614.67889908</v>
      </c>
      <c r="C15" s="24">
        <v>0.02</v>
      </c>
      <c r="D15" s="25">
        <f t="shared" si="1"/>
        <v>42752.2935779816</v>
      </c>
      <c r="E15" s="26">
        <v>0.07</v>
      </c>
      <c r="F15" s="23">
        <f t="shared" si="2"/>
        <v>149633.027522936</v>
      </c>
      <c r="G15" s="27">
        <v>2330000</v>
      </c>
      <c r="H15" s="22">
        <v>43849</v>
      </c>
      <c r="I15" s="23">
        <v>2330000</v>
      </c>
      <c r="J15" s="50" t="s">
        <v>21</v>
      </c>
    </row>
    <row r="16" ht="18" customHeight="1" spans="1:10">
      <c r="A16" s="22">
        <v>43836</v>
      </c>
      <c r="B16" s="23">
        <f t="shared" si="0"/>
        <v>1954128.44036697</v>
      </c>
      <c r="C16" s="24">
        <v>0.02</v>
      </c>
      <c r="D16" s="25">
        <f t="shared" si="1"/>
        <v>39082.5688073394</v>
      </c>
      <c r="E16" s="26">
        <v>0.07</v>
      </c>
      <c r="F16" s="23">
        <f t="shared" si="2"/>
        <v>136788.990825688</v>
      </c>
      <c r="G16" s="27">
        <v>2130000</v>
      </c>
      <c r="H16" s="22">
        <v>43849</v>
      </c>
      <c r="I16" s="23">
        <v>2130000</v>
      </c>
      <c r="J16" s="50" t="s">
        <v>21</v>
      </c>
    </row>
    <row r="17" ht="18" customHeight="1" spans="1:10">
      <c r="A17" s="22"/>
      <c r="B17" s="23">
        <f t="shared" si="0"/>
        <v>0</v>
      </c>
      <c r="C17" s="24">
        <v>0.02</v>
      </c>
      <c r="D17" s="25">
        <f t="shared" si="1"/>
        <v>0</v>
      </c>
      <c r="E17" s="26">
        <v>0.09</v>
      </c>
      <c r="F17" s="23">
        <f t="shared" si="2"/>
        <v>0</v>
      </c>
      <c r="G17" s="27"/>
      <c r="H17" s="22"/>
      <c r="I17" s="23"/>
      <c r="J17" s="50"/>
    </row>
    <row r="18" ht="18" customHeight="1" spans="1:10">
      <c r="A18" s="22"/>
      <c r="B18" s="23">
        <f t="shared" si="0"/>
        <v>0</v>
      </c>
      <c r="C18" s="24">
        <v>0.02</v>
      </c>
      <c r="D18" s="25">
        <f t="shared" si="1"/>
        <v>0</v>
      </c>
      <c r="E18" s="26">
        <v>0.09</v>
      </c>
      <c r="F18" s="23">
        <f t="shared" si="2"/>
        <v>0</v>
      </c>
      <c r="G18" s="27"/>
      <c r="H18" s="22"/>
      <c r="I18" s="23"/>
      <c r="J18" s="50"/>
    </row>
    <row r="19" ht="18" customHeight="1" spans="1:10">
      <c r="A19" s="22"/>
      <c r="B19" s="23">
        <f t="shared" si="0"/>
        <v>0</v>
      </c>
      <c r="C19" s="24">
        <v>0.02</v>
      </c>
      <c r="D19" s="25">
        <f t="shared" si="1"/>
        <v>0</v>
      </c>
      <c r="E19" s="26">
        <v>0.09</v>
      </c>
      <c r="F19" s="23">
        <f t="shared" si="2"/>
        <v>0</v>
      </c>
      <c r="G19" s="27"/>
      <c r="H19" s="22"/>
      <c r="I19" s="23"/>
      <c r="J19" s="50"/>
    </row>
    <row r="20" ht="18" customHeight="1" spans="1:10">
      <c r="A20" s="22"/>
      <c r="B20" s="23">
        <f t="shared" si="0"/>
        <v>0</v>
      </c>
      <c r="C20" s="24">
        <v>0.02</v>
      </c>
      <c r="D20" s="25">
        <f t="shared" si="1"/>
        <v>0</v>
      </c>
      <c r="E20" s="26">
        <v>0.09</v>
      </c>
      <c r="F20" s="23">
        <f t="shared" si="2"/>
        <v>0</v>
      </c>
      <c r="G20" s="27"/>
      <c r="H20" s="22"/>
      <c r="I20" s="23"/>
      <c r="J20" s="50"/>
    </row>
    <row r="21" ht="18" customHeight="1" spans="1:10">
      <c r="A21" s="28" t="s">
        <v>22</v>
      </c>
      <c r="B21" s="29">
        <f t="shared" ref="B21:G21" si="3">SUM(B7:B20)</f>
        <v>11280932.3084552</v>
      </c>
      <c r="C21" s="30"/>
      <c r="D21" s="31">
        <f t="shared" si="3"/>
        <v>225618.646169105</v>
      </c>
      <c r="E21" s="30"/>
      <c r="F21" s="32">
        <f t="shared" si="3"/>
        <v>933449.045375651</v>
      </c>
      <c r="G21" s="31">
        <f t="shared" si="3"/>
        <v>12440000</v>
      </c>
      <c r="H21" s="33"/>
      <c r="I21" s="31">
        <f>SUM(I7:I20)</f>
        <v>12440000</v>
      </c>
      <c r="J21" s="33"/>
    </row>
    <row r="22" ht="18" customHeight="1" spans="1:12">
      <c r="A22" s="3" t="s">
        <v>23</v>
      </c>
      <c r="J22" s="5"/>
      <c r="K22" s="5"/>
      <c r="L22" s="6"/>
    </row>
    <row r="23" ht="18" customHeight="1" spans="1:15">
      <c r="A23" s="34" t="s">
        <v>24</v>
      </c>
      <c r="B23" s="20" t="s">
        <v>25</v>
      </c>
      <c r="C23" s="19" t="s">
        <v>26</v>
      </c>
      <c r="D23" s="19" t="s">
        <v>27</v>
      </c>
      <c r="E23" s="19" t="s">
        <v>16</v>
      </c>
      <c r="F23" s="20" t="s">
        <v>28</v>
      </c>
      <c r="G23" s="20" t="s">
        <v>14</v>
      </c>
      <c r="H23" s="19" t="s">
        <v>29</v>
      </c>
      <c r="I23" s="20" t="s">
        <v>30</v>
      </c>
      <c r="J23" s="19" t="s">
        <v>20</v>
      </c>
      <c r="K23" s="51" t="s">
        <v>31</v>
      </c>
      <c r="L23" s="21" t="s">
        <v>32</v>
      </c>
      <c r="M23" s="21" t="s">
        <v>33</v>
      </c>
      <c r="N23" s="21" t="s">
        <v>34</v>
      </c>
      <c r="O23" s="21" t="s">
        <v>35</v>
      </c>
    </row>
    <row r="24" s="1" customFormat="1" ht="18" customHeight="1" spans="1:15">
      <c r="A24" s="35">
        <v>42736</v>
      </c>
      <c r="B24" s="17">
        <f t="shared" ref="B24:B59" si="4">ROUND(G24/(1+E24),2)</f>
        <v>12600</v>
      </c>
      <c r="C24" s="36"/>
      <c r="D24" s="37"/>
      <c r="E24" s="38"/>
      <c r="F24" s="17">
        <f t="shared" ref="F24:F59" si="5">ROUND(G24/(1+E24)*E24,2)</f>
        <v>0</v>
      </c>
      <c r="G24" s="27">
        <v>12600</v>
      </c>
      <c r="H24" s="22"/>
      <c r="I24" s="23"/>
      <c r="J24" s="50"/>
      <c r="K24" s="52" t="s">
        <v>36</v>
      </c>
      <c r="L24" s="53" t="s">
        <v>37</v>
      </c>
      <c r="M24" s="54"/>
      <c r="N24" s="54"/>
      <c r="O24" s="53"/>
    </row>
    <row r="25" s="1" customFormat="1" ht="18" customHeight="1" spans="1:15">
      <c r="A25" s="35"/>
      <c r="B25" s="17">
        <f t="shared" si="4"/>
        <v>0</v>
      </c>
      <c r="C25" s="36"/>
      <c r="D25" s="37"/>
      <c r="E25" s="38"/>
      <c r="F25" s="17">
        <f t="shared" si="5"/>
        <v>0</v>
      </c>
      <c r="G25" s="27"/>
      <c r="H25" s="22" t="s">
        <v>38</v>
      </c>
      <c r="I25" s="55">
        <v>200000</v>
      </c>
      <c r="J25" s="56" t="s">
        <v>21</v>
      </c>
      <c r="K25" s="57" t="s">
        <v>39</v>
      </c>
      <c r="L25" s="58" t="s">
        <v>40</v>
      </c>
      <c r="M25" s="54"/>
      <c r="N25" s="54"/>
      <c r="O25" s="53"/>
    </row>
    <row r="26" s="1" customFormat="1" ht="18" customHeight="1" spans="1:15">
      <c r="A26" s="35"/>
      <c r="B26" s="17">
        <f t="shared" si="4"/>
        <v>0</v>
      </c>
      <c r="C26" s="36"/>
      <c r="D26" s="37"/>
      <c r="E26" s="38"/>
      <c r="F26" s="17">
        <f t="shared" si="5"/>
        <v>0</v>
      </c>
      <c r="G26" s="27"/>
      <c r="H26" s="22" t="s">
        <v>38</v>
      </c>
      <c r="I26" s="55">
        <v>200000</v>
      </c>
      <c r="J26" s="56" t="s">
        <v>21</v>
      </c>
      <c r="K26" s="57" t="s">
        <v>39</v>
      </c>
      <c r="L26" s="58" t="s">
        <v>40</v>
      </c>
      <c r="M26" s="54"/>
      <c r="N26" s="54"/>
      <c r="O26" s="53"/>
    </row>
    <row r="27" s="1" customFormat="1" ht="18" customHeight="1" spans="1:15">
      <c r="A27" s="35">
        <v>42767</v>
      </c>
      <c r="B27" s="17">
        <f t="shared" si="4"/>
        <v>502056.2</v>
      </c>
      <c r="C27" s="36"/>
      <c r="D27" s="37"/>
      <c r="E27" s="38"/>
      <c r="F27" s="17">
        <f t="shared" si="5"/>
        <v>0</v>
      </c>
      <c r="G27" s="27">
        <v>502056.2</v>
      </c>
      <c r="H27" s="22"/>
      <c r="I27" s="23"/>
      <c r="J27" s="50"/>
      <c r="K27" s="1" t="s">
        <v>36</v>
      </c>
      <c r="L27" s="52" t="s">
        <v>45</v>
      </c>
      <c r="M27" s="54"/>
      <c r="N27" s="54"/>
      <c r="O27" s="53" t="s">
        <v>46</v>
      </c>
    </row>
    <row r="28" s="1" customFormat="1" ht="18" customHeight="1" spans="1:15">
      <c r="A28" s="35">
        <v>42767</v>
      </c>
      <c r="B28" s="17">
        <f t="shared" si="4"/>
        <v>427350.43</v>
      </c>
      <c r="C28" s="36"/>
      <c r="D28" s="37" t="s">
        <v>47</v>
      </c>
      <c r="E28" s="39">
        <v>0.17</v>
      </c>
      <c r="F28" s="17">
        <f t="shared" si="5"/>
        <v>72649.57</v>
      </c>
      <c r="G28" s="27">
        <v>500000</v>
      </c>
      <c r="H28" s="22"/>
      <c r="I28" s="23"/>
      <c r="J28" s="50"/>
      <c r="K28" s="52" t="s">
        <v>39</v>
      </c>
      <c r="L28" s="53" t="s">
        <v>45</v>
      </c>
      <c r="M28" s="54"/>
      <c r="N28" s="54"/>
      <c r="O28" s="53"/>
    </row>
    <row r="29" s="1" customFormat="1" ht="18" customHeight="1" spans="1:15">
      <c r="A29" s="35">
        <v>42767</v>
      </c>
      <c r="B29" s="17">
        <f t="shared" si="4"/>
        <v>182720</v>
      </c>
      <c r="C29" s="36"/>
      <c r="D29" s="37"/>
      <c r="E29" s="38"/>
      <c r="F29" s="17">
        <f t="shared" si="5"/>
        <v>0</v>
      </c>
      <c r="G29" s="27">
        <v>182720</v>
      </c>
      <c r="H29" s="22"/>
      <c r="I29" s="23"/>
      <c r="J29" s="50"/>
      <c r="K29" s="52" t="s">
        <v>36</v>
      </c>
      <c r="L29" s="53" t="s">
        <v>37</v>
      </c>
      <c r="M29" s="54"/>
      <c r="N29" s="54"/>
      <c r="O29" s="53"/>
    </row>
    <row r="30" s="1" customFormat="1" ht="18" customHeight="1" spans="1:15">
      <c r="A30" s="35"/>
      <c r="B30" s="17">
        <f t="shared" si="4"/>
        <v>0</v>
      </c>
      <c r="C30" s="36"/>
      <c r="D30" s="37"/>
      <c r="E30" s="38"/>
      <c r="F30" s="17">
        <f t="shared" si="5"/>
        <v>0</v>
      </c>
      <c r="G30" s="27"/>
      <c r="H30" s="22" t="s">
        <v>41</v>
      </c>
      <c r="I30" s="55">
        <v>300000</v>
      </c>
      <c r="J30" s="56" t="s">
        <v>21</v>
      </c>
      <c r="K30" s="57" t="s">
        <v>39</v>
      </c>
      <c r="L30" s="58" t="s">
        <v>40</v>
      </c>
      <c r="M30" s="54"/>
      <c r="N30" s="54"/>
      <c r="O30" s="53"/>
    </row>
    <row r="31" s="1" customFormat="1" ht="18" customHeight="1" spans="1:15">
      <c r="A31" s="35"/>
      <c r="B31" s="17">
        <f t="shared" si="4"/>
        <v>0</v>
      </c>
      <c r="C31" s="36"/>
      <c r="D31" s="37"/>
      <c r="E31" s="38"/>
      <c r="F31" s="17">
        <f t="shared" si="5"/>
        <v>0</v>
      </c>
      <c r="G31" s="27"/>
      <c r="H31" s="22" t="s">
        <v>41</v>
      </c>
      <c r="I31" s="55">
        <v>300000</v>
      </c>
      <c r="J31" s="56" t="s">
        <v>21</v>
      </c>
      <c r="K31" s="57" t="s">
        <v>39</v>
      </c>
      <c r="L31" s="58" t="s">
        <v>40</v>
      </c>
      <c r="M31" s="54"/>
      <c r="N31" s="54"/>
      <c r="O31" s="53"/>
    </row>
    <row r="32" s="1" customFormat="1" ht="18" customHeight="1" spans="1:15">
      <c r="A32" s="35">
        <v>42795</v>
      </c>
      <c r="B32" s="17">
        <f t="shared" si="4"/>
        <v>183220</v>
      </c>
      <c r="C32" s="36"/>
      <c r="D32" s="37"/>
      <c r="E32" s="38"/>
      <c r="F32" s="17">
        <f t="shared" si="5"/>
        <v>0</v>
      </c>
      <c r="G32" s="27">
        <v>183220</v>
      </c>
      <c r="H32" s="22"/>
      <c r="I32" s="23"/>
      <c r="J32" s="50"/>
      <c r="K32" s="52" t="s">
        <v>36</v>
      </c>
      <c r="L32" s="53" t="s">
        <v>37</v>
      </c>
      <c r="M32" s="54"/>
      <c r="N32" s="54"/>
      <c r="O32" s="53"/>
    </row>
    <row r="33" s="1" customFormat="1" ht="18" customHeight="1" spans="1:15">
      <c r="A33" s="35"/>
      <c r="B33" s="17">
        <f t="shared" si="4"/>
        <v>0</v>
      </c>
      <c r="C33" s="36"/>
      <c r="D33" s="37"/>
      <c r="E33" s="38"/>
      <c r="F33" s="17">
        <f t="shared" si="5"/>
        <v>0</v>
      </c>
      <c r="G33" s="27"/>
      <c r="H33" s="22" t="s">
        <v>42</v>
      </c>
      <c r="I33" s="55">
        <v>600000</v>
      </c>
      <c r="J33" s="56" t="s">
        <v>21</v>
      </c>
      <c r="K33" s="57" t="s">
        <v>43</v>
      </c>
      <c r="L33" s="58" t="s">
        <v>40</v>
      </c>
      <c r="M33" s="54"/>
      <c r="N33" s="54"/>
      <c r="O33" s="53"/>
    </row>
    <row r="34" s="1" customFormat="1" ht="18" customHeight="1" spans="1:15">
      <c r="A34" s="35">
        <v>42856</v>
      </c>
      <c r="B34" s="17">
        <f t="shared" si="4"/>
        <v>557812.14</v>
      </c>
      <c r="C34" s="36"/>
      <c r="D34" s="37" t="s">
        <v>47</v>
      </c>
      <c r="E34" s="39">
        <v>0.17</v>
      </c>
      <c r="F34" s="17">
        <f t="shared" si="5"/>
        <v>94828.06</v>
      </c>
      <c r="G34" s="27">
        <v>652640.2</v>
      </c>
      <c r="H34" s="22"/>
      <c r="I34" s="23"/>
      <c r="J34" s="50"/>
      <c r="K34" s="52" t="s">
        <v>43</v>
      </c>
      <c r="L34" s="53" t="s">
        <v>45</v>
      </c>
      <c r="M34" s="54"/>
      <c r="N34" s="54"/>
      <c r="O34" s="53"/>
    </row>
    <row r="35" s="1" customFormat="1" ht="18" customHeight="1" spans="1:15">
      <c r="A35" s="35"/>
      <c r="B35" s="17">
        <f t="shared" si="4"/>
        <v>0</v>
      </c>
      <c r="C35" s="36"/>
      <c r="D35" s="37"/>
      <c r="E35" s="38"/>
      <c r="F35" s="17">
        <f t="shared" si="5"/>
        <v>0</v>
      </c>
      <c r="G35" s="27"/>
      <c r="H35" s="40" t="s">
        <v>49</v>
      </c>
      <c r="I35" s="59">
        <v>568000</v>
      </c>
      <c r="J35" s="60" t="s">
        <v>50</v>
      </c>
      <c r="K35" s="61" t="s">
        <v>36</v>
      </c>
      <c r="M35" s="54"/>
      <c r="N35" s="54"/>
      <c r="O35" s="53"/>
    </row>
    <row r="36" s="1" customFormat="1" ht="18" customHeight="1" spans="1:15">
      <c r="A36" s="35"/>
      <c r="B36" s="17">
        <f t="shared" si="4"/>
        <v>0</v>
      </c>
      <c r="C36" s="36"/>
      <c r="D36" s="37"/>
      <c r="E36" s="38"/>
      <c r="F36" s="17">
        <f t="shared" si="5"/>
        <v>0</v>
      </c>
      <c r="G36" s="27"/>
      <c r="H36" s="22" t="s">
        <v>49</v>
      </c>
      <c r="I36" s="23">
        <v>500000</v>
      </c>
      <c r="J36" s="50" t="s">
        <v>21</v>
      </c>
      <c r="K36" s="52" t="s">
        <v>51</v>
      </c>
      <c r="L36" s="58" t="s">
        <v>40</v>
      </c>
      <c r="M36" s="54"/>
      <c r="N36" s="54"/>
      <c r="O36" s="53"/>
    </row>
    <row r="37" s="1" customFormat="1" ht="18" customHeight="1" spans="1:17">
      <c r="A37" s="35"/>
      <c r="B37" s="17">
        <f t="shared" si="4"/>
        <v>0</v>
      </c>
      <c r="C37" s="36"/>
      <c r="D37" s="37"/>
      <c r="E37" s="38"/>
      <c r="F37" s="17">
        <f t="shared" si="5"/>
        <v>0</v>
      </c>
      <c r="G37" s="27"/>
      <c r="H37" s="22" t="s">
        <v>49</v>
      </c>
      <c r="I37" s="55">
        <v>500000</v>
      </c>
      <c r="J37" s="56" t="s">
        <v>21</v>
      </c>
      <c r="K37" s="57" t="s">
        <v>52</v>
      </c>
      <c r="L37" s="58" t="s">
        <v>40</v>
      </c>
      <c r="M37" s="54"/>
      <c r="N37" s="54"/>
      <c r="O37" s="53"/>
      <c r="Q37" s="1">
        <f>I25+I26+I30+I31+I33+I36+I37+I42</f>
        <v>3100000</v>
      </c>
    </row>
    <row r="38" s="1" customFormat="1" ht="18" customHeight="1" spans="1:15">
      <c r="A38" s="35">
        <v>42887</v>
      </c>
      <c r="B38" s="17">
        <f t="shared" si="4"/>
        <v>399600</v>
      </c>
      <c r="C38" s="36"/>
      <c r="D38" s="37" t="s">
        <v>47</v>
      </c>
      <c r="E38" s="39">
        <v>0.17</v>
      </c>
      <c r="F38" s="17">
        <f t="shared" si="5"/>
        <v>67932</v>
      </c>
      <c r="G38" s="27">
        <v>467532</v>
      </c>
      <c r="H38" s="22"/>
      <c r="I38" s="23"/>
      <c r="J38" s="50"/>
      <c r="K38" s="52" t="s">
        <v>53</v>
      </c>
      <c r="L38" s="53" t="s">
        <v>54</v>
      </c>
      <c r="M38" s="54"/>
      <c r="N38" s="54"/>
      <c r="O38" s="53"/>
    </row>
    <row r="39" s="1" customFormat="1" ht="18" customHeight="1" spans="1:15">
      <c r="A39" s="35"/>
      <c r="B39" s="17">
        <f t="shared" si="4"/>
        <v>0</v>
      </c>
      <c r="C39" s="36"/>
      <c r="D39" s="37"/>
      <c r="E39" s="39"/>
      <c r="F39" s="17">
        <f t="shared" si="5"/>
        <v>0</v>
      </c>
      <c r="G39" s="27"/>
      <c r="H39" s="22" t="s">
        <v>56</v>
      </c>
      <c r="I39" s="59">
        <v>500000</v>
      </c>
      <c r="J39" s="50" t="s">
        <v>21</v>
      </c>
      <c r="K39" s="52" t="s">
        <v>51</v>
      </c>
      <c r="L39" s="53"/>
      <c r="M39" s="54"/>
      <c r="N39" s="54"/>
      <c r="O39" s="53"/>
    </row>
    <row r="40" s="1" customFormat="1" ht="18" customHeight="1" spans="1:15">
      <c r="A40" s="35"/>
      <c r="B40" s="17">
        <f t="shared" si="4"/>
        <v>0</v>
      </c>
      <c r="C40" s="36"/>
      <c r="D40" s="37"/>
      <c r="E40" s="39"/>
      <c r="F40" s="17">
        <f t="shared" si="5"/>
        <v>0</v>
      </c>
      <c r="G40" s="27"/>
      <c r="H40" s="22" t="s">
        <v>56</v>
      </c>
      <c r="I40" s="59">
        <v>500000</v>
      </c>
      <c r="J40" s="50" t="s">
        <v>21</v>
      </c>
      <c r="K40" s="61" t="s">
        <v>52</v>
      </c>
      <c r="L40" s="53"/>
      <c r="M40" s="54"/>
      <c r="N40" s="54"/>
      <c r="O40" s="53"/>
    </row>
    <row r="41" s="1" customFormat="1" ht="18" customHeight="1" spans="1:15">
      <c r="A41" s="35"/>
      <c r="B41" s="17">
        <f t="shared" si="4"/>
        <v>0</v>
      </c>
      <c r="C41" s="36"/>
      <c r="D41" s="37"/>
      <c r="E41" s="39"/>
      <c r="F41" s="17">
        <f t="shared" si="5"/>
        <v>0</v>
      </c>
      <c r="G41" s="27"/>
      <c r="H41" s="22" t="s">
        <v>57</v>
      </c>
      <c r="I41" s="59">
        <v>350000</v>
      </c>
      <c r="J41" s="50" t="s">
        <v>50</v>
      </c>
      <c r="K41" s="52" t="s">
        <v>36</v>
      </c>
      <c r="L41" s="53"/>
      <c r="M41" s="54"/>
      <c r="N41" s="54"/>
      <c r="O41" s="53"/>
    </row>
    <row r="42" s="1" customFormat="1" ht="18" customHeight="1" spans="1:15">
      <c r="A42" s="35"/>
      <c r="B42" s="17">
        <f t="shared" si="4"/>
        <v>0</v>
      </c>
      <c r="C42" s="36"/>
      <c r="D42" s="37"/>
      <c r="E42" s="39"/>
      <c r="F42" s="17">
        <f t="shared" si="5"/>
        <v>0</v>
      </c>
      <c r="G42" s="27"/>
      <c r="H42" s="22" t="s">
        <v>57</v>
      </c>
      <c r="I42" s="55">
        <v>500000</v>
      </c>
      <c r="J42" s="56" t="s">
        <v>21</v>
      </c>
      <c r="K42" s="57" t="s">
        <v>52</v>
      </c>
      <c r="L42" s="58" t="s">
        <v>40</v>
      </c>
      <c r="M42" s="54"/>
      <c r="N42" s="54"/>
      <c r="O42" s="53"/>
    </row>
    <row r="43" s="2" customFormat="1" ht="18" customHeight="1" spans="1:17">
      <c r="A43" s="41">
        <v>42979</v>
      </c>
      <c r="B43" s="42">
        <f t="shared" si="4"/>
        <v>113280</v>
      </c>
      <c r="C43" s="43"/>
      <c r="D43" s="44"/>
      <c r="E43" s="45"/>
      <c r="F43" s="42">
        <f t="shared" si="5"/>
        <v>0</v>
      </c>
      <c r="G43" s="42">
        <v>113280</v>
      </c>
      <c r="H43" s="46"/>
      <c r="I43" s="42"/>
      <c r="J43" s="62"/>
      <c r="K43" s="63" t="s">
        <v>36</v>
      </c>
      <c r="L43" s="64" t="s">
        <v>37</v>
      </c>
      <c r="M43" s="62"/>
      <c r="N43" s="62"/>
      <c r="O43" s="64"/>
      <c r="Q43" s="2" t="s">
        <v>59</v>
      </c>
    </row>
    <row r="44" s="1" customFormat="1" ht="18" customHeight="1" spans="1:15">
      <c r="A44" s="35"/>
      <c r="B44" s="17">
        <f t="shared" si="4"/>
        <v>0</v>
      </c>
      <c r="C44" s="36"/>
      <c r="D44" s="37"/>
      <c r="E44" s="39"/>
      <c r="F44" s="17">
        <f t="shared" si="5"/>
        <v>0</v>
      </c>
      <c r="G44" s="27"/>
      <c r="H44" s="22" t="s">
        <v>60</v>
      </c>
      <c r="I44" s="59">
        <v>310000</v>
      </c>
      <c r="J44" s="50" t="s">
        <v>50</v>
      </c>
      <c r="K44" s="52" t="s">
        <v>36</v>
      </c>
      <c r="L44" s="53"/>
      <c r="M44" s="54"/>
      <c r="N44" s="54"/>
      <c r="O44" s="53"/>
    </row>
    <row r="45" s="1" customFormat="1" ht="18" customHeight="1" spans="1:15">
      <c r="A45" s="35"/>
      <c r="B45" s="17">
        <f t="shared" si="4"/>
        <v>0</v>
      </c>
      <c r="C45" s="36"/>
      <c r="D45" s="37"/>
      <c r="E45" s="39"/>
      <c r="F45" s="17">
        <f t="shared" si="5"/>
        <v>0</v>
      </c>
      <c r="G45" s="27"/>
      <c r="H45" s="22" t="s">
        <v>61</v>
      </c>
      <c r="I45" s="59">
        <v>178000</v>
      </c>
      <c r="J45" s="50" t="s">
        <v>50</v>
      </c>
      <c r="K45" s="52" t="s">
        <v>36</v>
      </c>
      <c r="L45" s="53"/>
      <c r="M45" s="54"/>
      <c r="N45" s="54"/>
      <c r="O45" s="53"/>
    </row>
    <row r="46" s="1" customFormat="1" ht="18" customHeight="1" spans="1:15">
      <c r="A46" s="35"/>
      <c r="B46" s="17">
        <f t="shared" si="4"/>
        <v>0</v>
      </c>
      <c r="C46" s="36"/>
      <c r="D46" s="37"/>
      <c r="E46" s="39"/>
      <c r="F46" s="17">
        <f t="shared" si="5"/>
        <v>0</v>
      </c>
      <c r="G46" s="27"/>
      <c r="H46" s="22" t="s">
        <v>62</v>
      </c>
      <c r="I46" s="59">
        <v>310000</v>
      </c>
      <c r="J46" s="50" t="s">
        <v>21</v>
      </c>
      <c r="K46" s="61" t="s">
        <v>52</v>
      </c>
      <c r="L46" s="53"/>
      <c r="M46" s="54"/>
      <c r="N46" s="54"/>
      <c r="O46" s="53"/>
    </row>
    <row r="47" s="1" customFormat="1" ht="18" customHeight="1" spans="1:15">
      <c r="A47" s="35">
        <v>43070</v>
      </c>
      <c r="B47" s="17">
        <f t="shared" si="4"/>
        <v>854702.63</v>
      </c>
      <c r="C47" s="36"/>
      <c r="D47" s="37" t="s">
        <v>47</v>
      </c>
      <c r="E47" s="39">
        <v>0.17</v>
      </c>
      <c r="F47" s="17">
        <f t="shared" si="5"/>
        <v>145299.45</v>
      </c>
      <c r="G47" s="27">
        <v>1000002.08</v>
      </c>
      <c r="H47" s="22"/>
      <c r="I47" s="23"/>
      <c r="J47" s="50"/>
      <c r="K47" s="52" t="s">
        <v>51</v>
      </c>
      <c r="L47" s="53" t="s">
        <v>45</v>
      </c>
      <c r="M47" s="54"/>
      <c r="N47" s="54"/>
      <c r="O47" s="53"/>
    </row>
    <row r="48" s="1" customFormat="1" ht="18" customHeight="1" spans="1:15">
      <c r="A48" s="35">
        <v>43070</v>
      </c>
      <c r="B48" s="17">
        <f t="shared" si="4"/>
        <v>1367521.37</v>
      </c>
      <c r="C48" s="36"/>
      <c r="D48" s="37" t="s">
        <v>47</v>
      </c>
      <c r="E48" s="39">
        <v>0.17</v>
      </c>
      <c r="F48" s="17">
        <f t="shared" si="5"/>
        <v>232478.63</v>
      </c>
      <c r="G48" s="27">
        <v>1600000</v>
      </c>
      <c r="H48" s="22"/>
      <c r="I48" s="23"/>
      <c r="J48" s="50"/>
      <c r="K48" s="61" t="s">
        <v>52</v>
      </c>
      <c r="L48" s="53" t="s">
        <v>45</v>
      </c>
      <c r="M48" s="54"/>
      <c r="N48" s="54"/>
      <c r="O48" s="53"/>
    </row>
    <row r="49" s="1" customFormat="1" ht="18" customHeight="1" spans="1:15">
      <c r="A49" s="35">
        <v>43101</v>
      </c>
      <c r="B49" s="17">
        <f t="shared" si="4"/>
        <v>794250</v>
      </c>
      <c r="C49" s="36"/>
      <c r="D49" s="37"/>
      <c r="E49" s="39"/>
      <c r="F49" s="17">
        <f t="shared" si="5"/>
        <v>0</v>
      </c>
      <c r="G49" s="27">
        <v>794250</v>
      </c>
      <c r="H49" s="22"/>
      <c r="I49" s="23"/>
      <c r="J49" s="50"/>
      <c r="K49" s="52" t="s">
        <v>36</v>
      </c>
      <c r="L49" s="53" t="s">
        <v>63</v>
      </c>
      <c r="M49" s="54"/>
      <c r="N49" s="54"/>
      <c r="O49" s="53"/>
    </row>
    <row r="50" s="1" customFormat="1" ht="18" customHeight="1" spans="1:15">
      <c r="A50" s="35">
        <v>43101</v>
      </c>
      <c r="B50" s="17">
        <f t="shared" si="4"/>
        <v>0</v>
      </c>
      <c r="C50" s="36"/>
      <c r="D50" s="37"/>
      <c r="E50" s="39"/>
      <c r="F50" s="17">
        <f t="shared" si="5"/>
        <v>0</v>
      </c>
      <c r="G50" s="27"/>
      <c r="H50" s="22" t="s">
        <v>64</v>
      </c>
      <c r="I50" s="59">
        <v>2048410.05</v>
      </c>
      <c r="J50" s="50" t="s">
        <v>50</v>
      </c>
      <c r="K50" s="52" t="s">
        <v>36</v>
      </c>
      <c r="L50" s="53"/>
      <c r="M50" s="54"/>
      <c r="N50" s="54"/>
      <c r="O50" s="53"/>
    </row>
    <row r="51" s="1" customFormat="1" ht="18" customHeight="1" spans="1:15">
      <c r="A51" s="35">
        <v>43101</v>
      </c>
      <c r="B51" s="17">
        <f t="shared" si="4"/>
        <v>791200</v>
      </c>
      <c r="C51" s="36"/>
      <c r="D51" s="37"/>
      <c r="E51" s="39"/>
      <c r="F51" s="17">
        <f t="shared" si="5"/>
        <v>0</v>
      </c>
      <c r="G51" s="27">
        <v>791200</v>
      </c>
      <c r="H51" s="22"/>
      <c r="I51" s="23"/>
      <c r="J51" s="50"/>
      <c r="K51" s="52" t="s">
        <v>36</v>
      </c>
      <c r="L51" s="53" t="s">
        <v>65</v>
      </c>
      <c r="M51" s="54"/>
      <c r="N51" s="54"/>
      <c r="O51" s="53"/>
    </row>
    <row r="52" s="1" customFormat="1" ht="18" customHeight="1" spans="1:15">
      <c r="A52" s="35"/>
      <c r="B52" s="17">
        <f t="shared" si="4"/>
        <v>0</v>
      </c>
      <c r="C52" s="36"/>
      <c r="D52" s="37"/>
      <c r="E52" s="39"/>
      <c r="F52" s="17">
        <f t="shared" si="5"/>
        <v>0</v>
      </c>
      <c r="G52" s="27"/>
      <c r="H52" s="22" t="s">
        <v>64</v>
      </c>
      <c r="I52" s="59">
        <v>500000</v>
      </c>
      <c r="J52" s="50" t="s">
        <v>50</v>
      </c>
      <c r="K52" s="52" t="s">
        <v>36</v>
      </c>
      <c r="L52" s="53"/>
      <c r="M52" s="54"/>
      <c r="N52" s="54"/>
      <c r="O52" s="53"/>
    </row>
    <row r="53" s="1" customFormat="1" ht="18" customHeight="1" spans="1:15">
      <c r="A53" s="35">
        <v>43132</v>
      </c>
      <c r="B53" s="17">
        <f t="shared" si="4"/>
        <v>798000</v>
      </c>
      <c r="C53" s="36"/>
      <c r="D53" s="37"/>
      <c r="E53" s="39"/>
      <c r="F53" s="17">
        <f t="shared" si="5"/>
        <v>0</v>
      </c>
      <c r="G53" s="27">
        <v>798000</v>
      </c>
      <c r="H53" s="22" t="s">
        <v>66</v>
      </c>
      <c r="I53" s="59">
        <v>798000</v>
      </c>
      <c r="J53" s="50" t="s">
        <v>50</v>
      </c>
      <c r="K53" s="52" t="s">
        <v>36</v>
      </c>
      <c r="L53" s="53" t="s">
        <v>65</v>
      </c>
      <c r="M53" s="54"/>
      <c r="N53" s="54"/>
      <c r="O53" s="53"/>
    </row>
    <row r="54" s="1" customFormat="1" ht="18" customHeight="1" spans="1:15">
      <c r="A54" s="35">
        <v>43132</v>
      </c>
      <c r="B54" s="17">
        <f t="shared" si="4"/>
        <v>796000</v>
      </c>
      <c r="C54" s="36"/>
      <c r="D54" s="37"/>
      <c r="E54" s="39"/>
      <c r="F54" s="17">
        <f t="shared" si="5"/>
        <v>0</v>
      </c>
      <c r="G54" s="27">
        <v>796000</v>
      </c>
      <c r="H54" s="22" t="s">
        <v>66</v>
      </c>
      <c r="I54" s="59">
        <v>796000</v>
      </c>
      <c r="J54" s="50" t="s">
        <v>50</v>
      </c>
      <c r="K54" s="52" t="s">
        <v>36</v>
      </c>
      <c r="L54" s="53"/>
      <c r="M54" s="54"/>
      <c r="N54" s="54"/>
      <c r="O54" s="53"/>
    </row>
    <row r="55" s="1" customFormat="1" ht="18" customHeight="1" spans="1:15">
      <c r="A55" s="35"/>
      <c r="B55" s="17">
        <f t="shared" ref="B55:B65" si="6">ROUND(G55/(1+E55),2)</f>
        <v>0</v>
      </c>
      <c r="C55" s="36"/>
      <c r="D55" s="37"/>
      <c r="E55" s="39"/>
      <c r="F55" s="17">
        <f t="shared" ref="F55:F65" si="7">ROUND(G55/(1+E55)*E55,2)</f>
        <v>0</v>
      </c>
      <c r="G55" s="27"/>
      <c r="H55" s="22"/>
      <c r="I55" s="23"/>
      <c r="J55" s="50"/>
      <c r="K55" s="52"/>
      <c r="L55" s="53"/>
      <c r="M55" s="54"/>
      <c r="N55" s="54"/>
      <c r="O55" s="53"/>
    </row>
    <row r="56" s="1" customFormat="1" ht="18" customHeight="1" spans="1:15">
      <c r="A56" s="35"/>
      <c r="B56" s="17">
        <f t="shared" si="6"/>
        <v>0</v>
      </c>
      <c r="C56" s="36"/>
      <c r="D56" s="37"/>
      <c r="E56" s="39"/>
      <c r="F56" s="17">
        <f t="shared" si="7"/>
        <v>0</v>
      </c>
      <c r="G56" s="27"/>
      <c r="H56" s="22"/>
      <c r="I56" s="23">
        <v>120698</v>
      </c>
      <c r="J56" s="50" t="s">
        <v>79</v>
      </c>
      <c r="K56" s="52" t="s">
        <v>108</v>
      </c>
      <c r="L56" s="53"/>
      <c r="M56" s="54"/>
      <c r="N56" s="54"/>
      <c r="O56" s="53"/>
    </row>
    <row r="57" s="1" customFormat="1" ht="18" customHeight="1" spans="1:15">
      <c r="A57" s="35"/>
      <c r="B57" s="17">
        <f t="shared" si="6"/>
        <v>0</v>
      </c>
      <c r="C57" s="36"/>
      <c r="D57" s="37"/>
      <c r="E57" s="39"/>
      <c r="F57" s="17">
        <f t="shared" si="7"/>
        <v>0</v>
      </c>
      <c r="G57" s="27"/>
      <c r="H57" s="22"/>
      <c r="I57" s="23">
        <v>820000</v>
      </c>
      <c r="J57" s="50" t="s">
        <v>109</v>
      </c>
      <c r="K57" s="52" t="s">
        <v>110</v>
      </c>
      <c r="L57" s="53"/>
      <c r="M57" s="54"/>
      <c r="N57" s="54"/>
      <c r="O57" s="53"/>
    </row>
    <row r="58" s="1" customFormat="1" ht="18" customHeight="1" spans="1:15">
      <c r="A58" s="35"/>
      <c r="B58" s="17">
        <f t="shared" si="6"/>
        <v>0</v>
      </c>
      <c r="C58" s="36"/>
      <c r="D58" s="37"/>
      <c r="E58" s="39"/>
      <c r="F58" s="17">
        <f t="shared" si="7"/>
        <v>0</v>
      </c>
      <c r="G58" s="27"/>
      <c r="H58" s="22" t="s">
        <v>78</v>
      </c>
      <c r="I58" s="23">
        <v>832793.79</v>
      </c>
      <c r="J58" s="50"/>
      <c r="K58" s="52" t="s">
        <v>111</v>
      </c>
      <c r="L58" s="53"/>
      <c r="M58" s="54"/>
      <c r="N58" s="54"/>
      <c r="O58" s="53"/>
    </row>
    <row r="59" s="1" customFormat="1" ht="18" customHeight="1" spans="1:15">
      <c r="A59" s="35"/>
      <c r="B59" s="17">
        <f t="shared" si="6"/>
        <v>0</v>
      </c>
      <c r="C59" s="36"/>
      <c r="D59" s="37"/>
      <c r="E59" s="39"/>
      <c r="F59" s="17">
        <f t="shared" si="7"/>
        <v>0</v>
      </c>
      <c r="G59" s="27"/>
      <c r="H59" s="22"/>
      <c r="I59" s="23"/>
      <c r="J59" s="50"/>
      <c r="K59" s="52" t="s">
        <v>40</v>
      </c>
      <c r="L59" s="53"/>
      <c r="M59" s="54"/>
      <c r="N59" s="54"/>
      <c r="O59" s="53"/>
    </row>
    <row r="60" s="1" customFormat="1" ht="18" customHeight="1" spans="1:15">
      <c r="A60" s="35"/>
      <c r="B60" s="17">
        <f t="shared" si="6"/>
        <v>0</v>
      </c>
      <c r="C60" s="36"/>
      <c r="D60" s="37"/>
      <c r="E60" s="39"/>
      <c r="F60" s="17">
        <f t="shared" si="7"/>
        <v>0</v>
      </c>
      <c r="G60" s="27"/>
      <c r="H60" s="22" t="s">
        <v>78</v>
      </c>
      <c r="I60" s="23">
        <v>148700</v>
      </c>
      <c r="J60" s="50" t="s">
        <v>79</v>
      </c>
      <c r="K60" s="52" t="s">
        <v>112</v>
      </c>
      <c r="L60" s="53"/>
      <c r="M60" s="54"/>
      <c r="N60" s="54"/>
      <c r="O60" s="53"/>
    </row>
    <row r="61" s="1" customFormat="1" ht="18" customHeight="1" spans="1:15">
      <c r="A61" s="35"/>
      <c r="B61" s="17">
        <f t="shared" si="6"/>
        <v>0</v>
      </c>
      <c r="C61" s="36"/>
      <c r="D61" s="37"/>
      <c r="E61" s="39"/>
      <c r="F61" s="17">
        <f t="shared" si="7"/>
        <v>0</v>
      </c>
      <c r="G61" s="27"/>
      <c r="H61" s="22" t="s">
        <v>78</v>
      </c>
      <c r="I61" s="23">
        <f>21300+23300</f>
        <v>44600</v>
      </c>
      <c r="J61" s="50" t="s">
        <v>86</v>
      </c>
      <c r="K61" s="52" t="s">
        <v>87</v>
      </c>
      <c r="L61" s="53"/>
      <c r="M61" s="54"/>
      <c r="N61" s="54"/>
      <c r="O61" s="53"/>
    </row>
    <row r="62" s="1" customFormat="1" ht="18" customHeight="1" spans="1:15">
      <c r="A62" s="35"/>
      <c r="B62" s="17">
        <f t="shared" si="6"/>
        <v>89200</v>
      </c>
      <c r="C62" s="36"/>
      <c r="D62" s="37"/>
      <c r="E62" s="39"/>
      <c r="F62" s="17">
        <f t="shared" si="7"/>
        <v>0</v>
      </c>
      <c r="G62" s="27">
        <f>42600+46600</f>
        <v>89200</v>
      </c>
      <c r="H62" s="22" t="s">
        <v>78</v>
      </c>
      <c r="I62" s="23">
        <f>G62</f>
        <v>89200</v>
      </c>
      <c r="J62" s="50" t="s">
        <v>79</v>
      </c>
      <c r="K62" s="52" t="s">
        <v>89</v>
      </c>
      <c r="L62" s="53"/>
      <c r="M62" s="54"/>
      <c r="N62" s="54"/>
      <c r="O62" s="53"/>
    </row>
    <row r="63" s="1" customFormat="1" ht="18" customHeight="1" spans="1:15">
      <c r="A63" s="35"/>
      <c r="B63" s="17">
        <f t="shared" si="6"/>
        <v>0</v>
      </c>
      <c r="C63" s="36"/>
      <c r="D63" s="37"/>
      <c r="E63" s="39"/>
      <c r="F63" s="17">
        <f t="shared" si="7"/>
        <v>0</v>
      </c>
      <c r="G63" s="27"/>
      <c r="H63" s="22"/>
      <c r="I63" s="23">
        <v>4000</v>
      </c>
      <c r="J63" s="50" t="s">
        <v>79</v>
      </c>
      <c r="K63" s="52" t="s">
        <v>90</v>
      </c>
      <c r="L63" s="53"/>
      <c r="M63" s="54"/>
      <c r="N63" s="54"/>
      <c r="O63" s="53"/>
    </row>
    <row r="64" s="1" customFormat="1" ht="18" customHeight="1" spans="1:15">
      <c r="A64" s="35"/>
      <c r="B64" s="17">
        <f t="shared" si="6"/>
        <v>0</v>
      </c>
      <c r="C64" s="36"/>
      <c r="D64" s="37"/>
      <c r="E64" s="39"/>
      <c r="F64" s="17">
        <f t="shared" si="7"/>
        <v>0</v>
      </c>
      <c r="G64" s="27"/>
      <c r="H64" s="22"/>
      <c r="I64" s="23">
        <v>231589.95</v>
      </c>
      <c r="J64" s="50" t="s">
        <v>79</v>
      </c>
      <c r="K64" s="52" t="s">
        <v>85</v>
      </c>
      <c r="L64" s="53"/>
      <c r="M64" s="54"/>
      <c r="N64" s="54"/>
      <c r="O64" s="53"/>
    </row>
    <row r="65" s="1" customFormat="1" ht="18" customHeight="1" spans="1:15">
      <c r="A65" s="35"/>
      <c r="B65" s="17">
        <f t="shared" si="6"/>
        <v>159600</v>
      </c>
      <c r="C65" s="36"/>
      <c r="D65" s="37"/>
      <c r="E65" s="38"/>
      <c r="F65" s="17">
        <f t="shared" si="7"/>
        <v>0</v>
      </c>
      <c r="G65" s="27">
        <v>159600</v>
      </c>
      <c r="H65" s="22"/>
      <c r="I65" s="74">
        <v>159600</v>
      </c>
      <c r="J65" s="50" t="s">
        <v>79</v>
      </c>
      <c r="K65" s="52" t="s">
        <v>89</v>
      </c>
      <c r="L65" s="53"/>
      <c r="M65" s="54"/>
      <c r="N65" s="54"/>
      <c r="O65" s="53"/>
    </row>
    <row r="66" ht="18" customHeight="1" spans="1:15">
      <c r="A66" s="30" t="s">
        <v>22</v>
      </c>
      <c r="B66" s="29">
        <f t="shared" ref="B66:G66" si="8">SUM(B24:B65)</f>
        <v>8029112.77</v>
      </c>
      <c r="C66" s="30"/>
      <c r="D66" s="65"/>
      <c r="E66" s="65"/>
      <c r="F66" s="32">
        <f t="shared" si="8"/>
        <v>613187.71</v>
      </c>
      <c r="G66" s="66">
        <f t="shared" si="8"/>
        <v>8642300.48</v>
      </c>
      <c r="H66" s="67"/>
      <c r="I66" s="31">
        <f>SUM(I24:I65)</f>
        <v>12409591.79</v>
      </c>
      <c r="J66" s="75"/>
      <c r="K66" s="65"/>
      <c r="L66" s="33"/>
      <c r="M66" s="50"/>
      <c r="N66" s="50"/>
      <c r="O66" s="33"/>
    </row>
    <row r="67" ht="18" customHeight="1" spans="1:14">
      <c r="A67" s="68" t="s">
        <v>91</v>
      </c>
      <c r="B67" s="69">
        <f>B21-B66</f>
        <v>3251819.5384552</v>
      </c>
      <c r="C67" s="68"/>
      <c r="D67" s="70"/>
      <c r="E67" s="70"/>
      <c r="F67" s="69"/>
      <c r="G67" s="69">
        <f>G21-G66</f>
        <v>3797699.52</v>
      </c>
      <c r="H67" s="21" t="s">
        <v>92</v>
      </c>
      <c r="I67" s="31">
        <f>I21-I66</f>
        <v>30408.2100000009</v>
      </c>
      <c r="J67" s="7"/>
      <c r="K67" s="76"/>
      <c r="M67" s="77"/>
      <c r="N67" s="77"/>
    </row>
    <row r="68" ht="18" customHeight="1" spans="1:3">
      <c r="A68" s="3" t="s">
        <v>93</v>
      </c>
      <c r="C68" s="3"/>
    </row>
    <row r="69" ht="18" customHeight="1" spans="1:8">
      <c r="A69" s="21" t="s">
        <v>94</v>
      </c>
      <c r="B69" s="20" t="s">
        <v>95</v>
      </c>
      <c r="C69" s="33"/>
      <c r="D69" s="21" t="s">
        <v>94</v>
      </c>
      <c r="E69" s="19" t="s">
        <v>16</v>
      </c>
      <c r="F69" s="20" t="s">
        <v>95</v>
      </c>
      <c r="H69" s="20" t="s">
        <v>97</v>
      </c>
    </row>
    <row r="70" ht="18" customHeight="1" spans="1:8">
      <c r="A70" s="33" t="s">
        <v>98</v>
      </c>
      <c r="B70" s="17">
        <f>(B21-B66)*0.25</f>
        <v>812954.8846138</v>
      </c>
      <c r="C70" s="33"/>
      <c r="D70" s="10" t="s">
        <v>85</v>
      </c>
      <c r="E70" s="50" t="s">
        <v>99</v>
      </c>
      <c r="F70" s="71">
        <f>F21-F66</f>
        <v>320261.335375651</v>
      </c>
      <c r="H70" s="71">
        <f>SUM(F14:F16)-SUM(F47:F48)</f>
        <v>109725.019429705</v>
      </c>
    </row>
    <row r="71" ht="18" customHeight="1" spans="1:8">
      <c r="A71" s="33" t="s">
        <v>100</v>
      </c>
      <c r="B71" s="72" t="s">
        <v>101</v>
      </c>
      <c r="C71" s="33"/>
      <c r="D71" s="73" t="s">
        <v>102</v>
      </c>
      <c r="E71" s="14">
        <v>0.05</v>
      </c>
      <c r="F71" s="23">
        <f>F70*E71</f>
        <v>16013.0667687826</v>
      </c>
      <c r="H71" s="23">
        <f>H70*E71</f>
        <v>5486.25097148525</v>
      </c>
    </row>
    <row r="72" ht="18" customHeight="1" spans="1:8">
      <c r="A72" s="33" t="s">
        <v>103</v>
      </c>
      <c r="B72" s="72" t="s">
        <v>101</v>
      </c>
      <c r="C72" s="33"/>
      <c r="D72" s="73" t="s">
        <v>104</v>
      </c>
      <c r="E72" s="14">
        <v>0.03</v>
      </c>
      <c r="F72" s="23">
        <f>F70*E72</f>
        <v>9607.84006126953</v>
      </c>
      <c r="H72" s="23">
        <f>H70*E72</f>
        <v>3291.75058289115</v>
      </c>
    </row>
    <row r="73" ht="18" customHeight="1" spans="1:8">
      <c r="A73" s="33"/>
      <c r="B73" s="23"/>
      <c r="C73" s="33"/>
      <c r="D73" s="73" t="s">
        <v>105</v>
      </c>
      <c r="E73" s="14">
        <v>0.02</v>
      </c>
      <c r="F73" s="23">
        <f>F70*E73</f>
        <v>6405.22670751302</v>
      </c>
      <c r="H73" s="23">
        <f>H70*E73</f>
        <v>2194.5003885941</v>
      </c>
    </row>
    <row r="74" ht="18" customHeight="1" spans="1:8">
      <c r="A74" s="28" t="s">
        <v>106</v>
      </c>
      <c r="B74" s="29">
        <f>SUM(B70:B73)</f>
        <v>812954.8846138</v>
      </c>
      <c r="C74" s="33"/>
      <c r="D74" s="28" t="s">
        <v>106</v>
      </c>
      <c r="E74" s="28"/>
      <c r="F74" s="32">
        <f>SUM(F70:F73)</f>
        <v>352287.468913216</v>
      </c>
      <c r="H74" s="32">
        <f>SUM(H70:H73)</f>
        <v>120697.521372675</v>
      </c>
    </row>
    <row r="75" ht="18" customHeight="1" spans="3:8">
      <c r="C75" s="3"/>
      <c r="D75" s="30" t="s">
        <v>22</v>
      </c>
      <c r="E75" s="30"/>
      <c r="F75" s="31">
        <f>F74</f>
        <v>352287.468913216</v>
      </c>
      <c r="H75" s="31"/>
    </row>
    <row r="76" ht="18" customHeight="1" spans="3:3">
      <c r="C76" s="3"/>
    </row>
    <row r="77" ht="18" customHeight="1" spans="3:8">
      <c r="C77" s="3"/>
      <c r="H77" s="5">
        <f>B67*0.25</f>
        <v>812954.8846138</v>
      </c>
    </row>
    <row r="78" ht="18" customHeight="1" spans="3:3">
      <c r="C78" s="3"/>
    </row>
    <row r="79" ht="18" customHeight="1" spans="3:3">
      <c r="C79" s="3"/>
    </row>
    <row r="80" spans="3:3">
      <c r="C80" s="3"/>
    </row>
    <row r="81" spans="3:3">
      <c r="C81" s="3"/>
    </row>
    <row r="82" spans="3:3">
      <c r="C82" s="3"/>
    </row>
    <row r="83" spans="3:3">
      <c r="C83" s="3"/>
    </row>
    <row r="84" spans="3:3">
      <c r="C84" s="3"/>
    </row>
    <row r="85" spans="3:3">
      <c r="C85" s="3"/>
    </row>
    <row r="86" spans="3:3">
      <c r="C86" s="3"/>
    </row>
    <row r="87" spans="3:3">
      <c r="C87" s="3"/>
    </row>
    <row r="88" spans="3:3">
      <c r="C88" s="3"/>
    </row>
    <row r="89" spans="3:3">
      <c r="C89" s="3"/>
    </row>
    <row r="90" spans="3:3">
      <c r="C90" s="3"/>
    </row>
    <row r="91" spans="3:3">
      <c r="C91" s="3"/>
    </row>
    <row r="92" spans="3:3">
      <c r="C92" s="3"/>
    </row>
    <row r="93" spans="3:3">
      <c r="C93" s="3"/>
    </row>
    <row r="94" spans="3:3">
      <c r="C94" s="3"/>
    </row>
    <row r="95" spans="3:3">
      <c r="C95" s="3"/>
    </row>
  </sheetData>
  <autoFilter ref="A23:Q75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95" rgbClr="CFC870"/>
    <comment s:ref="D96" rgbClr="CFC870"/>
  </commentList>
  <commentList sheetStid="1"/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2022-03-24T03:03:00Z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8A1E9605C28C44BE96B9FD128F5B148C</vt:lpwstr>
  </property>
</Properties>
</file>