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4091 济青高速 (新)" sheetId="9" r:id="rId1"/>
    <sheet name="济青高速（旧）" sheetId="7" r:id="rId2"/>
    <sheet name="3113荣乌（丁）" sheetId="12" r:id="rId3"/>
    <sheet name="3113 荣乌" sheetId="6" r:id="rId4"/>
    <sheet name="3113荣乌（律师要）" sheetId="11" r:id="rId5"/>
    <sheet name="3093 六合竹镇镇" sheetId="8" r:id="rId6"/>
    <sheet name="3个项目4个供应商合同" sheetId="10" r:id="rId7"/>
  </sheets>
  <definedNames>
    <definedName name="_xlnm._FilterDatabase" localSheetId="2" hidden="1">'3113荣乌（丁）'!$A$40:$O$85</definedName>
    <definedName name="_xlnm._FilterDatabase" localSheetId="0" hidden="1">'4091 济青高速 (新)'!$A$24:$O$85</definedName>
    <definedName name="_xlnm._FilterDatabase" localSheetId="5" hidden="1">'3093 六合竹镇镇'!$A$20:$O$29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7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8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<sst xmlns="http://schemas.openxmlformats.org/spreadsheetml/2006/main" count="858" uniqueCount="146">
  <si>
    <t>济南至青岛高速公路改扩建工程项目主体工程施工第三标段（JQSG-3)</t>
  </si>
  <si>
    <t>中标日期</t>
  </si>
  <si>
    <t>中标价</t>
  </si>
  <si>
    <t>负责人</t>
  </si>
  <si>
    <t>建设单位</t>
  </si>
  <si>
    <t>中国建筑第八工程局有限公司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</si>
  <si>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</si>
  <si>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</si>
  <si>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</si>
  <si>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</si>
  <si>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</si>
  <si>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</si>
  <si>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</si>
  <si>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</si>
  <si>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</si>
  <si>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</si>
  <si>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</si>
  <si>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</si>
  <si>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</si>
  <si>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</si>
  <si>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</si>
  <si>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预付款没开发票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</si>
  <si>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</si>
  <si>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</si>
  <si>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</si>
  <si>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</si>
  <si>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</si>
  <si>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</si>
  <si>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</si>
  <si>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</si>
  <si>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</si>
  <si>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</si>
  <si>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</si>
  <si>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</si>
  <si>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</si>
  <si>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</si>
  <si>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</si>
  <si>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</si>
  <si>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安丘市欣欣市政工程有限公司</t>
  </si>
  <si>
    <t>机械租赁</t>
  </si>
  <si>
    <t>结清证明已办</t>
  </si>
  <si>
    <t>徽行</t>
  </si>
  <si>
    <t>张平</t>
  </si>
  <si>
    <t>安丘市鸿飞市政工程有限公司</t>
  </si>
  <si>
    <t>安丘市阳飞市政工程有限公司</t>
  </si>
  <si>
    <t>有</t>
  </si>
  <si>
    <t>合同价3245000</t>
  </si>
  <si>
    <t>专</t>
  </si>
  <si>
    <t>安徽安泰达律师事务所</t>
  </si>
  <si>
    <t>律师费</t>
  </si>
  <si>
    <t>11次</t>
  </si>
  <si>
    <t>扣</t>
  </si>
  <si>
    <t>暂扣</t>
  </si>
  <si>
    <t>到账29万企税成本不够</t>
  </si>
  <si>
    <t>印花税</t>
  </si>
  <si>
    <t>财务手续费</t>
  </si>
  <si>
    <t>1%预留损失准备金</t>
  </si>
  <si>
    <t>到账工程款1.5%管理费</t>
  </si>
  <si>
    <t>10次</t>
  </si>
  <si>
    <t>9次</t>
  </si>
  <si>
    <t>8次</t>
  </si>
  <si>
    <t>外经证</t>
  </si>
  <si>
    <t>7次</t>
  </si>
  <si>
    <t>6次</t>
  </si>
  <si>
    <t>5次</t>
  </si>
  <si>
    <t>4次</t>
  </si>
  <si>
    <t>3次</t>
  </si>
  <si>
    <t>2次</t>
  </si>
  <si>
    <t>退</t>
  </si>
  <si>
    <t>暂扣款</t>
  </si>
  <si>
    <t>手续不全</t>
  </si>
  <si>
    <t>尚需提供成本</t>
  </si>
  <si>
    <t>可支付金额</t>
  </si>
  <si>
    <t>公司代缴税金：</t>
  </si>
  <si>
    <t>税种</t>
  </si>
  <si>
    <t>税额</t>
  </si>
  <si>
    <t>企业所得税</t>
  </si>
  <si>
    <t>增值税</t>
  </si>
  <si>
    <t>差额</t>
  </si>
  <si>
    <t>城市维护建设税</t>
  </si>
  <si>
    <t>水利基金</t>
  </si>
  <si>
    <t>教育费附加</t>
  </si>
  <si>
    <t>地方教育费附加</t>
  </si>
  <si>
    <t>小计</t>
  </si>
  <si>
    <t>税金（1-7次）</t>
  </si>
  <si>
    <t>代办费</t>
  </si>
  <si>
    <t>管理费（补记）</t>
  </si>
  <si>
    <t>管理费</t>
  </si>
  <si>
    <t>C3113  荣乌国家高速公路潍坊至日照联络线潍城至日照段工程第二合同段</t>
  </si>
  <si>
    <t>甲供材</t>
  </si>
  <si>
    <t>中国建筑土木建设有限公司</t>
  </si>
  <si>
    <t>中行电子承兑</t>
  </si>
  <si>
    <t>收票日期</t>
  </si>
  <si>
    <t>1--9</t>
  </si>
  <si>
    <t>9--14</t>
  </si>
  <si>
    <t>2018年</t>
  </si>
  <si>
    <t>安丘市阳欣市政工程有限公司</t>
  </si>
  <si>
    <t>阳欣终止合同100万</t>
  </si>
  <si>
    <t>鸿飞补合同400万</t>
  </si>
  <si>
    <t>结清证明</t>
  </si>
  <si>
    <t>2019年</t>
  </si>
  <si>
    <t>承兑</t>
  </si>
  <si>
    <t>机械费</t>
  </si>
  <si>
    <t>19-5-</t>
  </si>
  <si>
    <t>收现金</t>
  </si>
  <si>
    <t>19年5月管理费22500+15000</t>
  </si>
  <si>
    <t>预留</t>
  </si>
  <si>
    <t>损失准备金1%</t>
  </si>
  <si>
    <t>1-20其他扣款</t>
  </si>
  <si>
    <t>已交</t>
  </si>
  <si>
    <t>对方提供合同额</t>
  </si>
  <si>
    <t>三个项目四个供应商</t>
  </si>
  <si>
    <t>开票</t>
  </si>
  <si>
    <t>付款</t>
  </si>
  <si>
    <t>欠</t>
  </si>
  <si>
    <t>未开票合同</t>
  </si>
  <si>
    <t>公司合同</t>
  </si>
  <si>
    <t>1份合同40万机械</t>
  </si>
  <si>
    <t>鸿飞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</si>
  <si>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00+400</t>
    </r>
  </si>
  <si>
    <t>注销</t>
  </si>
  <si>
    <t>应扣</t>
  </si>
  <si>
    <t>已扣</t>
  </si>
  <si>
    <t>余</t>
  </si>
  <si>
    <t>3份合同384.4+324.5+177.65=886.55</t>
  </si>
  <si>
    <t>欣欣</t>
  </si>
  <si>
    <t>2份200万劳务+300万机械</t>
  </si>
  <si>
    <t>阳欣</t>
  </si>
  <si>
    <t>1份机械500万</t>
  </si>
  <si>
    <t>阳飞</t>
  </si>
  <si>
    <t>218.1.19 无金额合同</t>
  </si>
  <si>
    <t>鸿飞公司</t>
  </si>
  <si>
    <t>2018.1.19号与</t>
  </si>
  <si>
    <t>安丘市鸿飞市政工程有限公司签订无金额合同，马上终止</t>
  </si>
  <si>
    <t>荣乌国家高速公路潍坊至日照联络线潍城至日照段工程第二合同段</t>
  </si>
  <si>
    <t>荣乌</t>
  </si>
  <si>
    <t>——</t>
  </si>
  <si>
    <t>南京六合竹镇民族小区项目中心路景观绿化工程</t>
  </si>
  <si>
    <t>转账手续费</t>
  </si>
  <si>
    <t>暂扣履保金</t>
  </si>
  <si>
    <t>履保金</t>
  </si>
  <si>
    <t>税金</t>
  </si>
  <si>
    <t>荣乌高速、济青高速、六合竹镇合同、付款情况</t>
  </si>
  <si>
    <t>单位：万元</t>
  </si>
  <si>
    <t xml:space="preserve"> 合同内容</t>
  </si>
  <si>
    <t>合同额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</si>
</sst>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yy/m/d;@"/>
    <numFmt numFmtId="44" formatCode="_ &quot;￥&quot;* #,##0.00_ ;_ &quot;￥&quot;* \-#,##0.00_ ;_ &quot;￥&quot;* &quot;-&quot;??_ ;_ @_ 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09">
    <xf numFmtId="0" fontId="0" fillId="0" borderId="0" xfId="0"/>
    <xf numFmtId="177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8" fontId="4" fillId="3" borderId="1" xfId="0" applyNumberFormat="1" applyFont="1" applyFill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8" fontId="4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176" fontId="4" fillId="4" borderId="1" xfId="0" applyNumberFormat="1" applyFont="1" applyFill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6" fontId="4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9" fontId="3" fillId="6" borderId="1" xfId="1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8" fontId="0" fillId="0" borderId="0" xfId="0" applyNumberFormat="1"/>
    <xf numFmtId="178" fontId="5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3" fillId="3" borderId="1" xfId="0" applyNumberFormat="1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vertical="center"/>
    </xf>
    <xf numFmtId="58" fontId="0" fillId="0" borderId="0" xfId="0" applyNumberFormat="1"/>
    <xf numFmtId="0" fontId="6" fillId="0" borderId="1" xfId="0" applyFont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wrapText="1"/>
    </xf>
    <xf numFmtId="178" fontId="2" fillId="0" borderId="3" xfId="0" applyNumberFormat="1" applyFont="1" applyBorder="1" applyAlignment="1">
      <alignment vertical="center"/>
    </xf>
    <xf numFmtId="0" fontId="2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/>
    </xf>
    <xf numFmtId="178" fontId="4" fillId="4" borderId="3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7" fillId="0" borderId="0" xfId="0" applyFont="1"/>
    <xf numFmtId="0" fontId="0" fillId="7" borderId="1" xfId="0" applyFill="1" applyBorder="1" applyAlignment="1">
      <alignment horizontal="center"/>
    </xf>
    <xf numFmtId="2" fontId="0" fillId="7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176" fontId="0" fillId="7" borderId="1" xfId="0" applyNumberFormat="1" applyFill="1" applyBorder="1" applyAlignment="1">
      <alignment horizontal="center"/>
    </xf>
    <xf numFmtId="9" fontId="3" fillId="5" borderId="1" xfId="11" applyNumberFormat="1" applyFont="1" applyFill="1" applyBorder="1" applyAlignment="1">
      <alignment horizontal="center" vertical="center"/>
    </xf>
    <xf numFmtId="0" fontId="0" fillId="0" borderId="1" xfId="0" applyBorder="1"/>
    <xf numFmtId="178" fontId="2" fillId="8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441960</xdr:colOff>
      <xdr:row>85</xdr:row>
      <xdr:rowOff>114300</xdr:rowOff>
    </xdr:from>
    <xdr:to>
      <xdr:col>14</xdr:col>
      <xdr:colOff>112395</xdr:colOff>
      <xdr:row>92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035" y="19545300"/>
          <a:ext cx="1046226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opLeftCell="A61" workbookViewId="0">
      <selection activeCell="G74" sqref="G74"/>
    </sheetView>
  </sheetViews>
  <sheetFormatPr defaultColWidth="9" defaultRowHeight="20.1" customHeight="1"/>
  <cols>
    <col min="2" max="2" width="12.5" customWidth="1"/>
    <col min="3" max="3" width="7.5" customWidth="1"/>
    <col min="4" max="4" width="11.625" customWidth="1"/>
    <col min="5" max="5" width="6.5" customWidth="1"/>
    <col min="6" max="6" width="12.5" customWidth="1"/>
    <col min="7" max="7" width="16.125" customWidth="1"/>
    <col min="9" max="9" width="12.875" customWidth="1"/>
    <col min="10" max="10" width="7.625" customWidth="1"/>
    <col min="11" max="11" width="23.875" customWidth="1"/>
    <col min="14" max="14" width="17.25" customWidth="1"/>
    <col min="15" max="15" width="10.625" customWidth="1"/>
    <col min="16" max="17" width="9.375"/>
  </cols>
  <sheetData>
    <row r="1" customHeight="1" spans="1:15">
      <c r="A1" s="9" t="s">
        <v>0</v>
      </c>
      <c r="B1" s="9"/>
      <c r="C1" s="9"/>
      <c r="D1" s="9"/>
      <c r="E1" s="9"/>
      <c r="F1" s="10"/>
      <c r="G1" s="10"/>
      <c r="H1" s="9"/>
      <c r="I1" s="10"/>
      <c r="J1" s="9"/>
      <c r="K1" s="1"/>
      <c r="L1" s="1"/>
      <c r="M1" s="54"/>
      <c r="N1" s="54"/>
      <c r="O1" s="54"/>
    </row>
    <row r="2" customHeight="1" spans="1:15">
      <c r="A2" s="11" t="s">
        <v>1</v>
      </c>
      <c r="B2" s="12">
        <v>42550</v>
      </c>
      <c r="C2" s="13" t="s">
        <v>2</v>
      </c>
      <c r="D2" s="13">
        <v>13286938</v>
      </c>
      <c r="E2" s="14" t="s">
        <v>3</v>
      </c>
      <c r="F2" s="15"/>
      <c r="G2" s="16" t="s">
        <v>4</v>
      </c>
      <c r="H2" s="17" t="s">
        <v>5</v>
      </c>
      <c r="I2" s="55"/>
      <c r="J2" s="56"/>
      <c r="K2" s="1"/>
      <c r="L2" s="1"/>
      <c r="M2" s="54"/>
      <c r="N2" s="54"/>
      <c r="O2" s="54"/>
    </row>
    <row r="3" customHeight="1" spans="1:15">
      <c r="A3" s="11" t="s">
        <v>6</v>
      </c>
      <c r="B3" s="18"/>
      <c r="C3" s="13" t="s">
        <v>7</v>
      </c>
      <c r="D3" s="13"/>
      <c r="E3" s="19"/>
      <c r="F3" s="20"/>
      <c r="G3" s="20"/>
      <c r="H3" s="1"/>
      <c r="I3" s="57"/>
      <c r="J3" s="1"/>
      <c r="K3" s="1"/>
      <c r="L3" s="1"/>
      <c r="M3" s="54"/>
      <c r="N3" s="54"/>
      <c r="O3" s="54"/>
    </row>
    <row r="4" customHeight="1" spans="1:15">
      <c r="A4" s="21" t="s">
        <v>8</v>
      </c>
      <c r="B4" s="20"/>
      <c r="C4" s="19"/>
      <c r="D4" s="19"/>
      <c r="E4" s="19"/>
      <c r="F4" s="20"/>
      <c r="G4" s="20"/>
      <c r="H4" s="1"/>
      <c r="I4" s="57"/>
      <c r="J4" s="1"/>
      <c r="K4" s="1"/>
      <c r="L4" s="1"/>
      <c r="M4" s="54"/>
      <c r="N4" s="54"/>
      <c r="O4" s="54"/>
    </row>
    <row r="5" customHeight="1" spans="1:15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  <c r="K5" s="54"/>
      <c r="L5" s="54"/>
      <c r="M5" s="54"/>
      <c r="N5" s="54"/>
      <c r="O5" s="54"/>
    </row>
    <row r="6" customHeight="1" spans="1:15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  <c r="K6" s="54"/>
      <c r="L6" s="54"/>
      <c r="M6" s="54"/>
      <c r="N6" s="54"/>
      <c r="O6" s="54"/>
    </row>
    <row r="7" customHeight="1" spans="1:15">
      <c r="A7" s="25">
        <v>42717</v>
      </c>
      <c r="B7" s="13">
        <f t="shared" ref="B7:B16" si="0">G7/(1+C7+E7)</f>
        <v>918473.155339806</v>
      </c>
      <c r="C7" s="26"/>
      <c r="D7" s="68">
        <f t="shared" ref="D7:D16" si="1">G7/(1+E7+C7)*C7</f>
        <v>0</v>
      </c>
      <c r="E7" s="26">
        <v>0.03</v>
      </c>
      <c r="F7" s="13">
        <f t="shared" ref="F7:F16" si="2">G7/(1+C7+E7)*E7</f>
        <v>27554.1946601942</v>
      </c>
      <c r="G7" s="70">
        <v>946027.35</v>
      </c>
      <c r="H7" s="25">
        <v>42683</v>
      </c>
      <c r="I7" s="13">
        <v>709521</v>
      </c>
      <c r="J7" s="48" t="s">
        <v>20</v>
      </c>
      <c r="K7" s="54" t="s">
        <v>21</v>
      </c>
      <c r="L7" s="54"/>
      <c r="M7" s="54"/>
      <c r="N7" s="54"/>
      <c r="O7" s="54"/>
    </row>
    <row r="8" customHeight="1" spans="1:15">
      <c r="A8" s="25">
        <v>42751</v>
      </c>
      <c r="B8" s="13">
        <f t="shared" si="0"/>
        <v>385449.155339806</v>
      </c>
      <c r="C8" s="26"/>
      <c r="D8" s="68">
        <f t="shared" si="1"/>
        <v>0</v>
      </c>
      <c r="E8" s="26">
        <v>0.03</v>
      </c>
      <c r="F8" s="13">
        <f t="shared" si="2"/>
        <v>11563.4746601942</v>
      </c>
      <c r="G8" s="70">
        <v>397012.63</v>
      </c>
      <c r="H8" s="25">
        <v>42740</v>
      </c>
      <c r="I8" s="13">
        <v>297758.98</v>
      </c>
      <c r="J8" s="48" t="s">
        <v>20</v>
      </c>
      <c r="K8" s="54"/>
      <c r="L8" s="54"/>
      <c r="M8" s="54"/>
      <c r="N8" s="54"/>
      <c r="O8" s="54"/>
    </row>
    <row r="9" customHeight="1" spans="1:15">
      <c r="A9" s="25">
        <v>42753</v>
      </c>
      <c r="B9" s="13">
        <f t="shared" si="0"/>
        <v>822403.601941747</v>
      </c>
      <c r="C9" s="26"/>
      <c r="D9" s="68">
        <f t="shared" si="1"/>
        <v>0</v>
      </c>
      <c r="E9" s="26">
        <v>0.03</v>
      </c>
      <c r="F9" s="13">
        <f t="shared" si="2"/>
        <v>24672.1080582524</v>
      </c>
      <c r="G9" s="70">
        <v>847075.71</v>
      </c>
      <c r="H9" s="25">
        <v>42754</v>
      </c>
      <c r="I9" s="13">
        <v>635306.78</v>
      </c>
      <c r="J9" s="48" t="s">
        <v>20</v>
      </c>
      <c r="K9" s="54"/>
      <c r="L9" s="54"/>
      <c r="M9" s="54"/>
      <c r="N9" s="54"/>
      <c r="O9" s="54"/>
    </row>
    <row r="10" customHeight="1" spans="1:15">
      <c r="A10" s="25">
        <v>42926</v>
      </c>
      <c r="B10" s="13">
        <f t="shared" si="0"/>
        <v>643771.223300971</v>
      </c>
      <c r="C10" s="26"/>
      <c r="D10" s="68">
        <f t="shared" si="1"/>
        <v>0</v>
      </c>
      <c r="E10" s="26">
        <v>0.03</v>
      </c>
      <c r="F10" s="13">
        <f t="shared" si="2"/>
        <v>19313.1366990291</v>
      </c>
      <c r="G10" s="70">
        <v>663084.36</v>
      </c>
      <c r="H10" s="25">
        <v>42845</v>
      </c>
      <c r="I10" s="13">
        <v>311897.35</v>
      </c>
      <c r="J10" s="48" t="s">
        <v>20</v>
      </c>
      <c r="K10" s="54"/>
      <c r="L10" s="54"/>
      <c r="M10" s="54"/>
      <c r="N10" s="54"/>
      <c r="O10" s="54"/>
    </row>
    <row r="11" customHeight="1" spans="1:15">
      <c r="A11" s="25">
        <v>43039</v>
      </c>
      <c r="B11" s="13">
        <f t="shared" si="0"/>
        <v>357162.495145631</v>
      </c>
      <c r="C11" s="26"/>
      <c r="D11" s="68">
        <f t="shared" si="1"/>
        <v>0</v>
      </c>
      <c r="E11" s="26">
        <v>0.03</v>
      </c>
      <c r="F11" s="13">
        <f t="shared" si="2"/>
        <v>10714.8748543689</v>
      </c>
      <c r="G11" s="70">
        <v>367877.37</v>
      </c>
      <c r="H11" s="25">
        <v>42935</v>
      </c>
      <c r="I11" s="13">
        <v>489813.27</v>
      </c>
      <c r="J11" s="48" t="s">
        <v>20</v>
      </c>
      <c r="K11" s="54"/>
      <c r="L11" s="54"/>
      <c r="M11" s="54"/>
      <c r="N11" s="54"/>
      <c r="O11" s="54"/>
    </row>
    <row r="12" customHeight="1" spans="1:15">
      <c r="A12" s="25">
        <v>43142</v>
      </c>
      <c r="B12" s="13">
        <f t="shared" si="0"/>
        <v>1713337.33009709</v>
      </c>
      <c r="C12" s="26"/>
      <c r="D12" s="68">
        <f t="shared" si="1"/>
        <v>0</v>
      </c>
      <c r="E12" s="26">
        <v>0.03</v>
      </c>
      <c r="F12" s="13">
        <f t="shared" si="2"/>
        <v>51400.1199029126</v>
      </c>
      <c r="G12" s="70">
        <v>1764737.45</v>
      </c>
      <c r="H12" s="25">
        <v>43038</v>
      </c>
      <c r="I12" s="13">
        <v>200000</v>
      </c>
      <c r="J12" s="48" t="s">
        <v>20</v>
      </c>
      <c r="K12" s="54"/>
      <c r="L12" s="54"/>
      <c r="M12" s="54"/>
      <c r="N12" s="54"/>
      <c r="O12" s="54"/>
    </row>
    <row r="13" customHeight="1" spans="1:15">
      <c r="A13" s="25">
        <v>43847</v>
      </c>
      <c r="B13" s="13">
        <f t="shared" si="0"/>
        <v>211930.038834951</v>
      </c>
      <c r="C13" s="26"/>
      <c r="D13" s="68">
        <f t="shared" si="1"/>
        <v>0</v>
      </c>
      <c r="E13" s="26">
        <v>0.03</v>
      </c>
      <c r="F13" s="13">
        <f t="shared" si="2"/>
        <v>6357.90116504854</v>
      </c>
      <c r="G13" s="70">
        <v>218287.94</v>
      </c>
      <c r="H13" s="25">
        <v>43142</v>
      </c>
      <c r="I13" s="13">
        <v>1200000</v>
      </c>
      <c r="J13" s="48" t="s">
        <v>20</v>
      </c>
      <c r="K13" s="54"/>
      <c r="L13" s="54"/>
      <c r="M13" s="54"/>
      <c r="N13" s="54"/>
      <c r="O13" s="54"/>
    </row>
    <row r="14" customHeight="1" spans="1:15">
      <c r="A14" s="25"/>
      <c r="B14" s="13">
        <f t="shared" si="0"/>
        <v>0</v>
      </c>
      <c r="C14" s="26"/>
      <c r="D14" s="68">
        <f t="shared" si="1"/>
        <v>0</v>
      </c>
      <c r="E14" s="26">
        <v>0.03</v>
      </c>
      <c r="F14" s="13">
        <f t="shared" si="2"/>
        <v>0</v>
      </c>
      <c r="G14" s="70"/>
      <c r="H14" s="25">
        <v>43497</v>
      </c>
      <c r="I14" s="13">
        <v>1000000</v>
      </c>
      <c r="J14" s="48" t="s">
        <v>20</v>
      </c>
      <c r="K14" s="54"/>
      <c r="L14" s="54"/>
      <c r="M14" s="54"/>
      <c r="N14" s="54"/>
      <c r="O14" s="54"/>
    </row>
    <row r="15" customHeight="1" spans="1:15">
      <c r="A15" s="25"/>
      <c r="B15" s="13">
        <f t="shared" si="0"/>
        <v>0</v>
      </c>
      <c r="C15" s="26"/>
      <c r="D15" s="68">
        <f t="shared" si="1"/>
        <v>0</v>
      </c>
      <c r="E15" s="26">
        <v>0.03</v>
      </c>
      <c r="F15" s="13">
        <f t="shared" si="2"/>
        <v>0</v>
      </c>
      <c r="G15" s="70"/>
      <c r="H15" s="25">
        <v>43622</v>
      </c>
      <c r="I15" s="13">
        <v>100000</v>
      </c>
      <c r="J15" s="48" t="s">
        <v>20</v>
      </c>
      <c r="K15" s="19"/>
      <c r="L15" s="54"/>
      <c r="M15" s="54"/>
      <c r="N15" s="54"/>
      <c r="O15" s="54"/>
    </row>
    <row r="16" customHeight="1" spans="1:15">
      <c r="A16" s="25"/>
      <c r="B16" s="13">
        <f t="shared" si="0"/>
        <v>0</v>
      </c>
      <c r="C16" s="26"/>
      <c r="D16" s="68">
        <f t="shared" si="1"/>
        <v>0</v>
      </c>
      <c r="E16" s="26">
        <v>0.03</v>
      </c>
      <c r="F16" s="13">
        <f t="shared" si="2"/>
        <v>0</v>
      </c>
      <c r="G16" s="70"/>
      <c r="H16" s="25">
        <v>43851</v>
      </c>
      <c r="I16" s="13">
        <v>290000</v>
      </c>
      <c r="J16" s="48" t="s">
        <v>20</v>
      </c>
      <c r="K16" s="54"/>
      <c r="L16" s="54"/>
      <c r="M16" s="54"/>
      <c r="N16" s="54"/>
      <c r="O16" s="54"/>
    </row>
    <row r="17" customHeight="1" spans="1:15">
      <c r="A17" s="25"/>
      <c r="B17" s="13"/>
      <c r="C17" s="26"/>
      <c r="D17" s="68"/>
      <c r="E17" s="26"/>
      <c r="F17" s="13"/>
      <c r="G17" s="70"/>
      <c r="H17" s="25">
        <v>44237</v>
      </c>
      <c r="I17" s="13">
        <v>297200</v>
      </c>
      <c r="J17" s="48" t="s">
        <v>22</v>
      </c>
      <c r="K17" s="54"/>
      <c r="L17" s="54"/>
      <c r="M17" s="54"/>
      <c r="N17" s="54"/>
      <c r="O17" s="54"/>
    </row>
    <row r="18" customHeight="1" spans="1:15">
      <c r="A18" s="25"/>
      <c r="B18" s="13"/>
      <c r="C18" s="26"/>
      <c r="D18" s="68"/>
      <c r="E18" s="26"/>
      <c r="F18" s="13"/>
      <c r="G18" s="70"/>
      <c r="H18" s="25"/>
      <c r="I18" s="13"/>
      <c r="J18" s="48"/>
      <c r="K18" s="54"/>
      <c r="L18" s="54"/>
      <c r="M18" s="54"/>
      <c r="N18" s="54"/>
      <c r="O18" s="54"/>
    </row>
    <row r="19" customHeight="1" spans="1:15">
      <c r="A19" s="25"/>
      <c r="B19" s="13"/>
      <c r="C19" s="26"/>
      <c r="D19" s="68"/>
      <c r="E19" s="26"/>
      <c r="F19" s="13"/>
      <c r="G19" s="70"/>
      <c r="H19" s="25"/>
      <c r="I19" s="13"/>
      <c r="J19" s="48"/>
      <c r="K19" s="54"/>
      <c r="L19" s="54"/>
      <c r="M19" s="54"/>
      <c r="N19" s="54"/>
      <c r="O19" s="54"/>
    </row>
    <row r="20" customHeight="1" spans="1:15">
      <c r="A20" s="25"/>
      <c r="B20" s="13"/>
      <c r="C20" s="26"/>
      <c r="D20" s="68"/>
      <c r="E20" s="26"/>
      <c r="F20" s="13"/>
      <c r="G20" s="70"/>
      <c r="H20" s="25"/>
      <c r="I20" s="13"/>
      <c r="J20" s="48"/>
      <c r="K20" s="54"/>
      <c r="L20" s="54"/>
      <c r="M20" s="54"/>
      <c r="N20" s="54"/>
      <c r="O20" s="54"/>
    </row>
    <row r="21" customHeight="1" spans="1:15">
      <c r="A21" s="25"/>
      <c r="B21" s="13"/>
      <c r="C21" s="26"/>
      <c r="D21" s="68"/>
      <c r="E21" s="26"/>
      <c r="F21" s="13"/>
      <c r="G21" s="70"/>
      <c r="H21" s="25"/>
      <c r="I21" s="13"/>
      <c r="J21" s="48"/>
      <c r="K21" s="54"/>
      <c r="L21" s="54"/>
      <c r="M21" s="54"/>
      <c r="N21" s="54"/>
      <c r="O21" s="54"/>
    </row>
    <row r="22" customHeight="1" spans="1:15">
      <c r="A22" s="29" t="s">
        <v>23</v>
      </c>
      <c r="B22" s="30">
        <f>SUM(B7:B21)</f>
        <v>5052527</v>
      </c>
      <c r="C22" s="31"/>
      <c r="D22" s="31">
        <f>SUM(D7:D16)</f>
        <v>0</v>
      </c>
      <c r="E22" s="31"/>
      <c r="F22" s="33">
        <f>SUM(F7:F16)</f>
        <v>151575.81</v>
      </c>
      <c r="G22" s="31">
        <f>SUM(G7:G21)</f>
        <v>5204102.81</v>
      </c>
      <c r="H22" s="34"/>
      <c r="I22" s="31">
        <f>SUM(I7:I21)</f>
        <v>5531497.38</v>
      </c>
      <c r="J22" s="34"/>
      <c r="K22" s="54"/>
      <c r="L22" s="54"/>
      <c r="M22" s="54"/>
      <c r="N22" s="54"/>
      <c r="O22" s="54"/>
    </row>
    <row r="23" customHeight="1" spans="1:15">
      <c r="A23" s="21" t="s">
        <v>24</v>
      </c>
      <c r="B23" s="20"/>
      <c r="C23" s="19"/>
      <c r="D23" s="19"/>
      <c r="E23" s="19"/>
      <c r="F23" s="20"/>
      <c r="G23" s="20"/>
      <c r="H23" s="19"/>
      <c r="I23" s="20"/>
      <c r="J23" s="19"/>
      <c r="K23" s="19"/>
      <c r="L23" s="58"/>
      <c r="M23" s="54"/>
      <c r="N23" s="54"/>
      <c r="O23" s="54"/>
    </row>
    <row r="24" customHeight="1" spans="1:15">
      <c r="A24" s="35" t="s">
        <v>25</v>
      </c>
      <c r="B24" s="23" t="s">
        <v>26</v>
      </c>
      <c r="C24" s="22" t="s">
        <v>27</v>
      </c>
      <c r="D24" s="22" t="s">
        <v>28</v>
      </c>
      <c r="E24" s="22" t="s">
        <v>15</v>
      </c>
      <c r="F24" s="23" t="s">
        <v>29</v>
      </c>
      <c r="G24" s="23" t="s">
        <v>13</v>
      </c>
      <c r="H24" s="22" t="s">
        <v>30</v>
      </c>
      <c r="I24" s="23" t="s">
        <v>31</v>
      </c>
      <c r="J24" s="22" t="s">
        <v>19</v>
      </c>
      <c r="K24" s="59" t="s">
        <v>32</v>
      </c>
      <c r="L24" s="24" t="s">
        <v>33</v>
      </c>
      <c r="M24" s="24" t="s">
        <v>34</v>
      </c>
      <c r="N24" s="24" t="s">
        <v>35</v>
      </c>
      <c r="O24" s="24" t="s">
        <v>36</v>
      </c>
    </row>
    <row r="25" customHeight="1" spans="1:15">
      <c r="A25" s="36">
        <v>42917</v>
      </c>
      <c r="B25" s="37">
        <f t="shared" ref="B25:B34" si="3">ROUND(G25/(1+E25),2)</f>
        <v>700000</v>
      </c>
      <c r="C25" s="38"/>
      <c r="D25" s="39" t="s">
        <v>37</v>
      </c>
      <c r="E25" s="40"/>
      <c r="F25" s="37">
        <f t="shared" ref="F25:F34" si="4">ROUND(G25/(1+E25)*E25,2)</f>
        <v>0</v>
      </c>
      <c r="G25" s="28">
        <v>700000</v>
      </c>
      <c r="H25" s="25"/>
      <c r="I25" s="13"/>
      <c r="J25" s="48"/>
      <c r="K25" s="60" t="s">
        <v>38</v>
      </c>
      <c r="L25" s="61" t="s">
        <v>39</v>
      </c>
      <c r="N25" s="62"/>
      <c r="O25" s="62" t="s">
        <v>40</v>
      </c>
    </row>
    <row r="26" customHeight="1" spans="1:15">
      <c r="A26" s="36">
        <v>43149</v>
      </c>
      <c r="B26" s="37">
        <f t="shared" si="3"/>
        <v>1764737.45</v>
      </c>
      <c r="C26" s="38"/>
      <c r="D26" s="39" t="s">
        <v>37</v>
      </c>
      <c r="E26" s="40"/>
      <c r="F26" s="37">
        <f t="shared" si="4"/>
        <v>0</v>
      </c>
      <c r="G26" s="28">
        <v>1764737.45</v>
      </c>
      <c r="H26" s="25"/>
      <c r="I26" s="13"/>
      <c r="J26" s="48"/>
      <c r="K26" s="60" t="s">
        <v>38</v>
      </c>
      <c r="L26" s="61"/>
      <c r="M26" s="62"/>
      <c r="N26" s="62"/>
      <c r="O26" s="62" t="s">
        <v>40</v>
      </c>
    </row>
    <row r="27" customHeight="1" spans="1:15">
      <c r="A27" s="36"/>
      <c r="B27" s="37">
        <f t="shared" si="3"/>
        <v>0</v>
      </c>
      <c r="C27" s="38"/>
      <c r="D27" s="39"/>
      <c r="E27" s="40"/>
      <c r="F27" s="37">
        <f t="shared" si="4"/>
        <v>0</v>
      </c>
      <c r="G27" s="28"/>
      <c r="H27" s="25">
        <v>42684</v>
      </c>
      <c r="I27" s="13">
        <v>300000</v>
      </c>
      <c r="J27" s="48" t="s">
        <v>41</v>
      </c>
      <c r="K27" s="60" t="s">
        <v>42</v>
      </c>
      <c r="L27" s="61"/>
      <c r="M27" s="62"/>
      <c r="N27" s="62"/>
      <c r="O27" s="61"/>
    </row>
    <row r="28" customHeight="1" spans="1:15">
      <c r="A28" s="36"/>
      <c r="B28" s="37">
        <f t="shared" si="3"/>
        <v>0</v>
      </c>
      <c r="C28" s="38"/>
      <c r="D28" s="39"/>
      <c r="E28" s="40"/>
      <c r="F28" s="37">
        <f t="shared" si="4"/>
        <v>0</v>
      </c>
      <c r="G28" s="28"/>
      <c r="H28" s="25">
        <v>42719</v>
      </c>
      <c r="I28" s="13">
        <v>398094.37</v>
      </c>
      <c r="J28" s="48" t="s">
        <v>41</v>
      </c>
      <c r="K28" s="60" t="s">
        <v>42</v>
      </c>
      <c r="L28" s="61"/>
      <c r="M28" s="62"/>
      <c r="N28" s="62"/>
      <c r="O28" s="61"/>
    </row>
    <row r="29" customHeight="1" spans="1:15">
      <c r="A29" s="36"/>
      <c r="B29" s="37">
        <f t="shared" si="3"/>
        <v>0</v>
      </c>
      <c r="C29" s="38"/>
      <c r="D29" s="39"/>
      <c r="E29" s="40"/>
      <c r="F29" s="37">
        <f t="shared" si="4"/>
        <v>0</v>
      </c>
      <c r="G29" s="28"/>
      <c r="H29" s="25">
        <v>42752</v>
      </c>
      <c r="I29" s="13">
        <v>293173.5</v>
      </c>
      <c r="J29" s="48" t="s">
        <v>41</v>
      </c>
      <c r="K29" s="60" t="s">
        <v>42</v>
      </c>
      <c r="L29" s="61"/>
      <c r="M29" s="62"/>
      <c r="N29" s="62"/>
      <c r="O29" s="61"/>
    </row>
    <row r="30" customHeight="1" spans="1:15">
      <c r="A30" s="36"/>
      <c r="B30" s="37">
        <f t="shared" si="3"/>
        <v>0</v>
      </c>
      <c r="C30" s="38"/>
      <c r="D30" s="39"/>
      <c r="E30" s="40"/>
      <c r="F30" s="37">
        <f t="shared" si="4"/>
        <v>0</v>
      </c>
      <c r="G30" s="28"/>
      <c r="H30" s="25">
        <v>42755</v>
      </c>
      <c r="I30" s="13">
        <v>625523.06</v>
      </c>
      <c r="J30" s="48" t="s">
        <v>41</v>
      </c>
      <c r="K30" s="60" t="s">
        <v>42</v>
      </c>
      <c r="L30" s="61"/>
      <c r="M30" s="62"/>
      <c r="N30" s="62"/>
      <c r="O30" s="61"/>
    </row>
    <row r="31" customHeight="1" spans="1:15">
      <c r="A31" s="36"/>
      <c r="B31" s="37">
        <f t="shared" si="3"/>
        <v>0</v>
      </c>
      <c r="C31" s="38"/>
      <c r="D31" s="39"/>
      <c r="E31" s="40"/>
      <c r="F31" s="37">
        <f t="shared" si="4"/>
        <v>0</v>
      </c>
      <c r="G31" s="28"/>
      <c r="H31" s="25">
        <v>42850</v>
      </c>
      <c r="I31" s="13">
        <v>307218.89</v>
      </c>
      <c r="J31" s="48" t="s">
        <v>41</v>
      </c>
      <c r="K31" s="60" t="s">
        <v>42</v>
      </c>
      <c r="L31" s="61"/>
      <c r="M31" s="62"/>
      <c r="N31" s="62"/>
      <c r="O31" s="61"/>
    </row>
    <row r="32" customHeight="1" spans="1:15">
      <c r="A32" s="36"/>
      <c r="B32" s="37">
        <f t="shared" si="3"/>
        <v>0</v>
      </c>
      <c r="C32" s="38"/>
      <c r="D32" s="39"/>
      <c r="E32" s="40"/>
      <c r="F32" s="37">
        <f t="shared" si="4"/>
        <v>0</v>
      </c>
      <c r="G32" s="28"/>
      <c r="H32" s="25">
        <v>42940</v>
      </c>
      <c r="I32" s="13">
        <v>481767.14</v>
      </c>
      <c r="J32" s="48" t="s">
        <v>41</v>
      </c>
      <c r="K32" s="60" t="s">
        <v>42</v>
      </c>
      <c r="L32" s="61"/>
      <c r="M32" s="62"/>
      <c r="N32" s="62"/>
      <c r="O32" s="61"/>
    </row>
    <row r="33" customHeight="1" spans="1:15">
      <c r="A33" s="36"/>
      <c r="B33" s="37">
        <f t="shared" si="3"/>
        <v>0</v>
      </c>
      <c r="C33" s="38"/>
      <c r="D33" s="39"/>
      <c r="E33" s="40"/>
      <c r="F33" s="37">
        <f t="shared" si="4"/>
        <v>0</v>
      </c>
      <c r="G33" s="28"/>
      <c r="H33" s="25">
        <v>43054</v>
      </c>
      <c r="I33" s="13">
        <v>196889.64</v>
      </c>
      <c r="J33" s="48" t="s">
        <v>41</v>
      </c>
      <c r="K33" s="60" t="s">
        <v>42</v>
      </c>
      <c r="L33" s="61"/>
      <c r="M33" s="62"/>
      <c r="N33" s="62"/>
      <c r="O33" s="61"/>
    </row>
    <row r="34" customHeight="1" spans="1:15">
      <c r="A34" s="36"/>
      <c r="B34" s="37">
        <f t="shared" si="3"/>
        <v>0</v>
      </c>
      <c r="C34" s="38"/>
      <c r="D34" s="39"/>
      <c r="E34" s="40"/>
      <c r="F34" s="37">
        <f t="shared" si="4"/>
        <v>0</v>
      </c>
      <c r="G34" s="28"/>
      <c r="H34" s="25">
        <v>43143</v>
      </c>
      <c r="I34" s="13">
        <v>1180970.58</v>
      </c>
      <c r="J34" s="48" t="s">
        <v>20</v>
      </c>
      <c r="K34" s="60" t="s">
        <v>43</v>
      </c>
      <c r="L34" s="105"/>
      <c r="M34" s="62"/>
      <c r="N34" s="62"/>
      <c r="O34" s="61" t="s">
        <v>40</v>
      </c>
    </row>
    <row r="35" customHeight="1" spans="1:15">
      <c r="A35" s="36"/>
      <c r="B35" s="37">
        <f t="shared" ref="B35:B73" si="5">ROUND(G35/(1+E35),2)</f>
        <v>0</v>
      </c>
      <c r="C35" s="38"/>
      <c r="D35" s="39"/>
      <c r="E35" s="40"/>
      <c r="F35" s="37">
        <f t="shared" ref="F35:F73" si="6">ROUND(G35/(1+E35)*E35,2)</f>
        <v>0</v>
      </c>
      <c r="G35" s="28"/>
      <c r="H35" s="25">
        <v>43497</v>
      </c>
      <c r="I35" s="13">
        <v>391233.13</v>
      </c>
      <c r="J35" s="48" t="s">
        <v>20</v>
      </c>
      <c r="K35" s="60" t="s">
        <v>44</v>
      </c>
      <c r="L35" s="61"/>
      <c r="M35" s="62"/>
      <c r="N35" s="62"/>
      <c r="O35" s="61"/>
    </row>
    <row r="36" customHeight="1" spans="1:15">
      <c r="A36" s="36"/>
      <c r="B36" s="37">
        <f t="shared" si="5"/>
        <v>0</v>
      </c>
      <c r="C36" s="38"/>
      <c r="D36" s="39"/>
      <c r="E36" s="40"/>
      <c r="F36" s="37">
        <f t="shared" si="6"/>
        <v>0</v>
      </c>
      <c r="G36" s="28"/>
      <c r="H36" s="25">
        <v>43497</v>
      </c>
      <c r="I36" s="13">
        <v>583766.87</v>
      </c>
      <c r="J36" s="48" t="s">
        <v>20</v>
      </c>
      <c r="K36" s="60" t="s">
        <v>38</v>
      </c>
      <c r="L36" s="61"/>
      <c r="M36" s="62"/>
      <c r="N36" s="62"/>
      <c r="O36" s="62" t="s">
        <v>40</v>
      </c>
    </row>
    <row r="37" customHeight="1" spans="1:15">
      <c r="A37" s="36"/>
      <c r="B37" s="37">
        <f t="shared" si="5"/>
        <v>0</v>
      </c>
      <c r="C37" s="38"/>
      <c r="D37" s="39"/>
      <c r="E37" s="40"/>
      <c r="F37" s="37">
        <f t="shared" si="6"/>
        <v>0</v>
      </c>
      <c r="G37" s="28"/>
      <c r="H37" s="25">
        <v>43633</v>
      </c>
      <c r="I37" s="13">
        <v>97500</v>
      </c>
      <c r="J37" s="48" t="s">
        <v>20</v>
      </c>
      <c r="K37" s="60" t="s">
        <v>44</v>
      </c>
      <c r="L37" s="61"/>
      <c r="M37" s="62"/>
      <c r="N37" s="62"/>
      <c r="O37" s="61"/>
    </row>
    <row r="38" customHeight="1" spans="1:15">
      <c r="A38" s="36">
        <v>43800</v>
      </c>
      <c r="B38" s="37">
        <f t="shared" si="5"/>
        <v>234696.32</v>
      </c>
      <c r="C38" s="38"/>
      <c r="D38" s="39" t="s">
        <v>37</v>
      </c>
      <c r="E38" s="40"/>
      <c r="F38" s="37">
        <f t="shared" si="6"/>
        <v>0</v>
      </c>
      <c r="G38" s="28">
        <v>234696.32</v>
      </c>
      <c r="H38" s="25"/>
      <c r="I38" s="84"/>
      <c r="J38" s="48"/>
      <c r="K38" s="60" t="s">
        <v>38</v>
      </c>
      <c r="L38" s="61" t="s">
        <v>39</v>
      </c>
      <c r="M38" s="62" t="s">
        <v>45</v>
      </c>
      <c r="N38" s="62" t="s">
        <v>46</v>
      </c>
      <c r="O38" s="62" t="s">
        <v>40</v>
      </c>
    </row>
    <row r="39" customHeight="1" spans="1:15">
      <c r="A39" s="36"/>
      <c r="B39" s="37">
        <f t="shared" si="5"/>
        <v>0</v>
      </c>
      <c r="C39" s="38"/>
      <c r="D39" s="39"/>
      <c r="E39" s="40"/>
      <c r="F39" s="37">
        <f t="shared" si="6"/>
        <v>0</v>
      </c>
      <c r="G39" s="28"/>
      <c r="H39" s="12">
        <v>44104</v>
      </c>
      <c r="I39" s="37">
        <v>218758.59</v>
      </c>
      <c r="J39" s="62"/>
      <c r="K39" s="60" t="s">
        <v>38</v>
      </c>
      <c r="L39" s="61" t="s">
        <v>39</v>
      </c>
      <c r="M39" s="62"/>
      <c r="N39" s="62"/>
      <c r="O39" s="62" t="s">
        <v>40</v>
      </c>
    </row>
    <row r="40" customHeight="1" spans="1:15">
      <c r="A40" s="36">
        <v>44136</v>
      </c>
      <c r="B40" s="37">
        <f t="shared" si="5"/>
        <v>18867.92</v>
      </c>
      <c r="C40" s="38"/>
      <c r="D40" s="39" t="s">
        <v>47</v>
      </c>
      <c r="E40" s="104">
        <v>0.06</v>
      </c>
      <c r="F40" s="37">
        <f t="shared" si="6"/>
        <v>1132.08</v>
      </c>
      <c r="G40" s="28">
        <v>20000</v>
      </c>
      <c r="H40" s="25"/>
      <c r="I40" s="13"/>
      <c r="J40" s="48"/>
      <c r="K40" s="60" t="s">
        <v>48</v>
      </c>
      <c r="L40" s="61" t="s">
        <v>49</v>
      </c>
      <c r="M40" s="62"/>
      <c r="N40" s="62"/>
      <c r="O40" s="61"/>
    </row>
    <row r="41" customHeight="1" spans="1:15">
      <c r="A41" s="36"/>
      <c r="B41" s="37">
        <f t="shared" si="5"/>
        <v>0</v>
      </c>
      <c r="C41" s="38"/>
      <c r="D41" s="39"/>
      <c r="E41" s="40"/>
      <c r="F41" s="37">
        <f t="shared" si="6"/>
        <v>0</v>
      </c>
      <c r="G41" s="28"/>
      <c r="H41" s="25"/>
      <c r="I41" s="13"/>
      <c r="J41" s="48"/>
      <c r="K41" s="60"/>
      <c r="L41" s="61"/>
      <c r="M41" s="62"/>
      <c r="N41" s="62"/>
      <c r="O41" s="61"/>
    </row>
    <row r="42" customHeight="1" spans="1:15">
      <c r="A42" s="36"/>
      <c r="B42" s="37">
        <f t="shared" si="5"/>
        <v>0</v>
      </c>
      <c r="C42" s="38"/>
      <c r="D42" s="39"/>
      <c r="E42" s="40"/>
      <c r="F42" s="37">
        <f t="shared" si="6"/>
        <v>0</v>
      </c>
      <c r="G42" s="28"/>
      <c r="H42" s="25"/>
      <c r="I42" s="13"/>
      <c r="J42" s="48"/>
      <c r="K42" s="60"/>
      <c r="L42" s="61"/>
      <c r="M42" s="62"/>
      <c r="N42" s="62"/>
      <c r="O42" s="61"/>
    </row>
    <row r="43" customHeight="1" spans="1:15">
      <c r="A43" s="36"/>
      <c r="B43" s="37">
        <f t="shared" si="5"/>
        <v>0</v>
      </c>
      <c r="C43" s="38"/>
      <c r="D43" s="39"/>
      <c r="E43" s="40"/>
      <c r="F43" s="37">
        <f t="shared" si="6"/>
        <v>0</v>
      </c>
      <c r="G43" s="28"/>
      <c r="H43" s="25"/>
      <c r="I43" s="13"/>
      <c r="J43" s="48"/>
      <c r="K43" s="60"/>
      <c r="L43" s="61"/>
      <c r="M43" s="62"/>
      <c r="N43" s="62"/>
      <c r="O43" s="61"/>
    </row>
    <row r="44" customHeight="1" spans="1:15">
      <c r="A44" s="36"/>
      <c r="B44" s="37">
        <f t="shared" si="5"/>
        <v>0</v>
      </c>
      <c r="C44" s="38"/>
      <c r="D44" s="39"/>
      <c r="E44" s="40"/>
      <c r="F44" s="37">
        <f t="shared" si="6"/>
        <v>0</v>
      </c>
      <c r="G44" s="28"/>
      <c r="H44" s="25"/>
      <c r="I44" s="13"/>
      <c r="J44" s="48"/>
      <c r="K44" s="60"/>
      <c r="L44" s="61"/>
      <c r="M44" s="62"/>
      <c r="N44" s="62"/>
      <c r="O44" s="61"/>
    </row>
    <row r="45" customHeight="1" spans="1:15">
      <c r="A45" s="36"/>
      <c r="B45" s="37">
        <f t="shared" si="5"/>
        <v>0</v>
      </c>
      <c r="C45" s="38"/>
      <c r="D45" s="39"/>
      <c r="E45" s="40"/>
      <c r="F45" s="37">
        <f t="shared" si="6"/>
        <v>0</v>
      </c>
      <c r="G45" s="28"/>
      <c r="H45" s="25"/>
      <c r="I45" s="13"/>
      <c r="J45" s="48"/>
      <c r="K45" s="60"/>
      <c r="L45" s="61"/>
      <c r="M45" s="62"/>
      <c r="N45" s="62"/>
      <c r="O45" s="61"/>
    </row>
    <row r="46" customHeight="1" spans="1:15">
      <c r="A46" s="36"/>
      <c r="B46" s="37">
        <f t="shared" si="5"/>
        <v>0</v>
      </c>
      <c r="C46" s="38"/>
      <c r="D46" s="39"/>
      <c r="E46" s="40"/>
      <c r="F46" s="37">
        <f t="shared" si="6"/>
        <v>0</v>
      </c>
      <c r="G46" s="28"/>
      <c r="H46" s="25" t="s">
        <v>50</v>
      </c>
      <c r="I46" s="13">
        <v>50000</v>
      </c>
      <c r="J46" s="48" t="s">
        <v>51</v>
      </c>
      <c r="K46" s="60" t="s">
        <v>49</v>
      </c>
      <c r="L46" s="61"/>
      <c r="M46" s="62"/>
      <c r="N46" s="62"/>
      <c r="O46" s="61"/>
    </row>
    <row r="47" customHeight="1" spans="1:15">
      <c r="A47" s="36"/>
      <c r="B47" s="37">
        <f t="shared" si="5"/>
        <v>0</v>
      </c>
      <c r="C47" s="38"/>
      <c r="D47" s="39"/>
      <c r="E47" s="40"/>
      <c r="F47" s="37">
        <f t="shared" si="6"/>
        <v>0</v>
      </c>
      <c r="G47" s="28"/>
      <c r="H47" s="25" t="s">
        <v>50</v>
      </c>
      <c r="I47" s="106">
        <f>(I16-G38)*0.25</f>
        <v>13825.92</v>
      </c>
      <c r="J47" s="107" t="s">
        <v>52</v>
      </c>
      <c r="K47" s="108" t="s">
        <v>53</v>
      </c>
      <c r="L47" s="61"/>
      <c r="M47" s="62"/>
      <c r="N47" s="62"/>
      <c r="O47" s="61"/>
    </row>
    <row r="48" customHeight="1" spans="1:15">
      <c r="A48" s="36"/>
      <c r="B48" s="37">
        <f t="shared" si="5"/>
        <v>0</v>
      </c>
      <c r="C48" s="38"/>
      <c r="D48" s="39"/>
      <c r="E48" s="40"/>
      <c r="F48" s="37">
        <f t="shared" si="6"/>
        <v>0</v>
      </c>
      <c r="G48" s="28"/>
      <c r="H48" s="25" t="s">
        <v>50</v>
      </c>
      <c r="I48" s="106">
        <v>65.49</v>
      </c>
      <c r="J48" s="107" t="s">
        <v>51</v>
      </c>
      <c r="K48" s="108" t="s">
        <v>54</v>
      </c>
      <c r="L48" s="61"/>
      <c r="M48" s="62"/>
      <c r="N48" s="62"/>
      <c r="O48" s="61"/>
    </row>
    <row r="49" customHeight="1" spans="1:15">
      <c r="A49" s="36"/>
      <c r="B49" s="37">
        <f t="shared" si="5"/>
        <v>0</v>
      </c>
      <c r="C49" s="38"/>
      <c r="D49" s="39"/>
      <c r="E49" s="40"/>
      <c r="F49" s="37">
        <f t="shared" si="6"/>
        <v>0</v>
      </c>
      <c r="G49" s="28"/>
      <c r="H49" s="25" t="s">
        <v>50</v>
      </c>
      <c r="I49" s="13">
        <v>100</v>
      </c>
      <c r="J49" s="48" t="s">
        <v>51</v>
      </c>
      <c r="K49" s="60" t="s">
        <v>55</v>
      </c>
      <c r="L49" s="61"/>
      <c r="M49" s="62"/>
      <c r="N49" s="62"/>
      <c r="O49" s="61"/>
    </row>
    <row r="50" customHeight="1" spans="1:15">
      <c r="A50" s="36"/>
      <c r="B50" s="37">
        <f t="shared" si="5"/>
        <v>0</v>
      </c>
      <c r="C50" s="38"/>
      <c r="D50" s="39"/>
      <c r="E50" s="40"/>
      <c r="F50" s="37">
        <f t="shared" si="6"/>
        <v>0</v>
      </c>
      <c r="G50" s="28"/>
      <c r="H50" s="25" t="s">
        <v>50</v>
      </c>
      <c r="I50" s="13">
        <v>2900</v>
      </c>
      <c r="J50" s="48" t="s">
        <v>52</v>
      </c>
      <c r="K50" s="60" t="s">
        <v>56</v>
      </c>
      <c r="L50" s="61"/>
      <c r="M50" s="62"/>
      <c r="N50" s="62"/>
      <c r="O50" s="61"/>
    </row>
    <row r="51" customHeight="1" spans="1:15">
      <c r="A51" s="36"/>
      <c r="B51" s="37">
        <f t="shared" si="5"/>
        <v>4350</v>
      </c>
      <c r="C51" s="38"/>
      <c r="D51" s="39"/>
      <c r="E51" s="40"/>
      <c r="F51" s="37">
        <f t="shared" si="6"/>
        <v>0</v>
      </c>
      <c r="G51" s="28">
        <v>4350</v>
      </c>
      <c r="H51" s="25" t="s">
        <v>50</v>
      </c>
      <c r="I51" s="13">
        <v>4350</v>
      </c>
      <c r="J51" s="48" t="s">
        <v>51</v>
      </c>
      <c r="K51" s="60" t="s">
        <v>57</v>
      </c>
      <c r="L51" s="61"/>
      <c r="M51" s="62"/>
      <c r="N51" s="62"/>
      <c r="O51" s="61"/>
    </row>
    <row r="52" customHeight="1" spans="1:15">
      <c r="A52" s="36"/>
      <c r="B52" s="37">
        <f t="shared" si="5"/>
        <v>0</v>
      </c>
      <c r="C52" s="38"/>
      <c r="D52" s="39"/>
      <c r="E52" s="40"/>
      <c r="F52" s="37">
        <f t="shared" si="6"/>
        <v>0</v>
      </c>
      <c r="G52" s="28"/>
      <c r="H52" s="25" t="s">
        <v>58</v>
      </c>
      <c r="I52" s="13">
        <v>1000</v>
      </c>
      <c r="J52" s="48" t="s">
        <v>52</v>
      </c>
      <c r="K52" s="60" t="s">
        <v>56</v>
      </c>
      <c r="L52" s="61"/>
      <c r="M52" s="62"/>
      <c r="N52" s="62"/>
      <c r="O52" s="61"/>
    </row>
    <row r="53" customHeight="1" spans="1:15">
      <c r="A53" s="36"/>
      <c r="B53" s="37">
        <f t="shared" si="5"/>
        <v>1500</v>
      </c>
      <c r="C53" s="38"/>
      <c r="D53" s="39"/>
      <c r="E53" s="40"/>
      <c r="F53" s="37">
        <f t="shared" si="6"/>
        <v>0</v>
      </c>
      <c r="G53" s="28">
        <v>1500</v>
      </c>
      <c r="H53" s="25" t="s">
        <v>58</v>
      </c>
      <c r="I53" s="13">
        <v>1500</v>
      </c>
      <c r="J53" s="48" t="s">
        <v>51</v>
      </c>
      <c r="K53" s="60" t="s">
        <v>57</v>
      </c>
      <c r="L53" s="61"/>
      <c r="M53" s="62"/>
      <c r="N53" s="62"/>
      <c r="O53" s="61"/>
    </row>
    <row r="54" customHeight="1" spans="1:15">
      <c r="A54" s="36"/>
      <c r="B54" s="37">
        <f t="shared" si="5"/>
        <v>0</v>
      </c>
      <c r="C54" s="38"/>
      <c r="D54" s="39"/>
      <c r="E54" s="40"/>
      <c r="F54" s="37">
        <f t="shared" si="6"/>
        <v>0</v>
      </c>
      <c r="G54" s="28"/>
      <c r="H54" s="25" t="s">
        <v>59</v>
      </c>
      <c r="I54" s="13">
        <v>10000</v>
      </c>
      <c r="J54" s="48" t="s">
        <v>52</v>
      </c>
      <c r="K54" s="60" t="s">
        <v>56</v>
      </c>
      <c r="L54" s="61"/>
      <c r="M54" s="62"/>
      <c r="N54" s="62"/>
      <c r="O54" s="61"/>
    </row>
    <row r="55" customHeight="1" spans="1:15">
      <c r="A55" s="36"/>
      <c r="B55" s="37">
        <f t="shared" si="5"/>
        <v>15000</v>
      </c>
      <c r="C55" s="38"/>
      <c r="D55" s="39"/>
      <c r="E55" s="40"/>
      <c r="F55" s="37">
        <f t="shared" si="6"/>
        <v>0</v>
      </c>
      <c r="G55" s="28">
        <v>15000</v>
      </c>
      <c r="H55" s="25" t="s">
        <v>59</v>
      </c>
      <c r="I55" s="13">
        <v>15000</v>
      </c>
      <c r="J55" s="48" t="s">
        <v>51</v>
      </c>
      <c r="K55" s="60" t="s">
        <v>57</v>
      </c>
      <c r="L55" s="61"/>
      <c r="M55" s="62"/>
      <c r="N55" s="62"/>
      <c r="O55" s="61"/>
    </row>
    <row r="56" customHeight="1" spans="1:15">
      <c r="A56" s="36"/>
      <c r="B56" s="37">
        <f t="shared" si="5"/>
        <v>0</v>
      </c>
      <c r="C56" s="38"/>
      <c r="D56" s="39"/>
      <c r="E56" s="40"/>
      <c r="F56" s="37">
        <f t="shared" si="6"/>
        <v>0</v>
      </c>
      <c r="G56" s="28"/>
      <c r="H56" s="25" t="s">
        <v>60</v>
      </c>
      <c r="I56" s="13">
        <v>500</v>
      </c>
      <c r="J56" s="48" t="s">
        <v>51</v>
      </c>
      <c r="K56" s="60" t="s">
        <v>61</v>
      </c>
      <c r="L56" s="61"/>
      <c r="M56" s="62"/>
      <c r="N56" s="62"/>
      <c r="O56" s="61"/>
    </row>
    <row r="57" customHeight="1" spans="1:15">
      <c r="A57" s="36"/>
      <c r="B57" s="37">
        <f t="shared" si="5"/>
        <v>0</v>
      </c>
      <c r="C57" s="38"/>
      <c r="D57" s="39"/>
      <c r="E57" s="40"/>
      <c r="F57" s="37">
        <f t="shared" si="6"/>
        <v>0</v>
      </c>
      <c r="G57" s="28"/>
      <c r="H57" s="25" t="s">
        <v>60</v>
      </c>
      <c r="I57" s="13">
        <v>529.42</v>
      </c>
      <c r="J57" s="48" t="s">
        <v>51</v>
      </c>
      <c r="K57" s="60" t="s">
        <v>54</v>
      </c>
      <c r="L57" s="61"/>
      <c r="M57" s="62"/>
      <c r="N57" s="62"/>
      <c r="O57" s="61"/>
    </row>
    <row r="58" customHeight="1" spans="1:15">
      <c r="A58" s="36"/>
      <c r="B58" s="37">
        <f t="shared" si="5"/>
        <v>18000</v>
      </c>
      <c r="C58" s="38"/>
      <c r="D58" s="39"/>
      <c r="E58" s="40"/>
      <c r="F58" s="37">
        <f t="shared" si="6"/>
        <v>0</v>
      </c>
      <c r="G58" s="28">
        <v>18000</v>
      </c>
      <c r="H58" s="25" t="s">
        <v>60</v>
      </c>
      <c r="I58" s="13">
        <v>18000</v>
      </c>
      <c r="J58" s="48" t="s">
        <v>51</v>
      </c>
      <c r="K58" s="60" t="s">
        <v>57</v>
      </c>
      <c r="L58" s="61"/>
      <c r="M58" s="62"/>
      <c r="N58" s="62"/>
      <c r="O58" s="61"/>
    </row>
    <row r="59" customHeight="1" spans="1:15">
      <c r="A59" s="36"/>
      <c r="B59" s="37">
        <f t="shared" si="5"/>
        <v>0</v>
      </c>
      <c r="C59" s="38"/>
      <c r="D59" s="39"/>
      <c r="E59" s="40"/>
      <c r="F59" s="37">
        <f t="shared" si="6"/>
        <v>0</v>
      </c>
      <c r="G59" s="28"/>
      <c r="H59" s="25" t="s">
        <v>62</v>
      </c>
      <c r="I59" s="13">
        <v>110.36</v>
      </c>
      <c r="J59" s="48" t="s">
        <v>51</v>
      </c>
      <c r="K59" s="60" t="s">
        <v>54</v>
      </c>
      <c r="L59" s="61"/>
      <c r="M59" s="62"/>
      <c r="N59" s="62"/>
      <c r="O59" s="61"/>
    </row>
    <row r="60" customHeight="1" spans="1:15">
      <c r="A60" s="36"/>
      <c r="B60" s="37">
        <f t="shared" si="5"/>
        <v>3000</v>
      </c>
      <c r="C60" s="38"/>
      <c r="D60" s="39"/>
      <c r="E60" s="40"/>
      <c r="F60" s="37">
        <f t="shared" si="6"/>
        <v>0</v>
      </c>
      <c r="G60" s="28">
        <v>3000</v>
      </c>
      <c r="H60" s="25" t="s">
        <v>62</v>
      </c>
      <c r="I60" s="13">
        <v>3000</v>
      </c>
      <c r="J60" s="48" t="s">
        <v>51</v>
      </c>
      <c r="K60" s="60" t="s">
        <v>57</v>
      </c>
      <c r="L60" s="61"/>
      <c r="M60" s="62"/>
      <c r="N60" s="62"/>
      <c r="O60" s="61"/>
    </row>
    <row r="61" customHeight="1" spans="1:15">
      <c r="A61" s="36"/>
      <c r="B61" s="37">
        <f t="shared" si="5"/>
        <v>0</v>
      </c>
      <c r="C61" s="38"/>
      <c r="D61" s="39"/>
      <c r="E61" s="40"/>
      <c r="F61" s="37">
        <f t="shared" si="6"/>
        <v>0</v>
      </c>
      <c r="G61" s="28"/>
      <c r="H61" s="25" t="s">
        <v>63</v>
      </c>
      <c r="I61" s="13">
        <v>500</v>
      </c>
      <c r="J61" s="48" t="s">
        <v>51</v>
      </c>
      <c r="K61" s="60" t="s">
        <v>61</v>
      </c>
      <c r="L61" s="61"/>
      <c r="M61" s="62"/>
      <c r="N61" s="62"/>
      <c r="O61" s="61"/>
    </row>
    <row r="62" customHeight="1" spans="1:15">
      <c r="A62" s="36"/>
      <c r="B62" s="37">
        <f t="shared" si="5"/>
        <v>0</v>
      </c>
      <c r="C62" s="38"/>
      <c r="D62" s="39"/>
      <c r="E62" s="40"/>
      <c r="F62" s="37">
        <f t="shared" si="6"/>
        <v>0</v>
      </c>
      <c r="G62" s="28"/>
      <c r="H62" s="25" t="s">
        <v>63</v>
      </c>
      <c r="I62" s="13">
        <v>198.93</v>
      </c>
      <c r="J62" s="48" t="s">
        <v>51</v>
      </c>
      <c r="K62" s="60" t="s">
        <v>54</v>
      </c>
      <c r="L62" s="61"/>
      <c r="M62" s="62"/>
      <c r="N62" s="62"/>
      <c r="O62" s="61"/>
    </row>
    <row r="63" customHeight="1" spans="1:15">
      <c r="A63" s="36"/>
      <c r="B63" s="37">
        <f t="shared" si="5"/>
        <v>7347.2</v>
      </c>
      <c r="C63" s="38"/>
      <c r="D63" s="39"/>
      <c r="E63" s="40"/>
      <c r="F63" s="37">
        <f t="shared" si="6"/>
        <v>0</v>
      </c>
      <c r="G63" s="28">
        <v>7347.2</v>
      </c>
      <c r="H63" s="25" t="s">
        <v>63</v>
      </c>
      <c r="I63" s="13">
        <v>7347.2</v>
      </c>
      <c r="J63" s="48" t="s">
        <v>51</v>
      </c>
      <c r="K63" s="60" t="s">
        <v>57</v>
      </c>
      <c r="L63" s="61"/>
      <c r="M63" s="62"/>
      <c r="N63" s="62"/>
      <c r="O63" s="61"/>
    </row>
    <row r="64" customHeight="1" spans="1:15">
      <c r="A64" s="36"/>
      <c r="B64" s="37">
        <f t="shared" si="5"/>
        <v>4678.46</v>
      </c>
      <c r="C64" s="38"/>
      <c r="D64" s="39"/>
      <c r="E64" s="40"/>
      <c r="F64" s="37">
        <f t="shared" si="6"/>
        <v>0</v>
      </c>
      <c r="G64" s="28">
        <v>4678.46</v>
      </c>
      <c r="H64" s="25" t="s">
        <v>64</v>
      </c>
      <c r="I64" s="13">
        <v>4678.46</v>
      </c>
      <c r="J64" s="48" t="s">
        <v>51</v>
      </c>
      <c r="K64" s="60" t="s">
        <v>57</v>
      </c>
      <c r="L64" s="61"/>
      <c r="M64" s="62"/>
      <c r="N64" s="62"/>
      <c r="O64" s="61"/>
    </row>
    <row r="65" customHeight="1" spans="1:15">
      <c r="A65" s="36"/>
      <c r="B65" s="37">
        <f t="shared" si="5"/>
        <v>0</v>
      </c>
      <c r="C65" s="38"/>
      <c r="D65" s="39"/>
      <c r="E65" s="40"/>
      <c r="F65" s="37">
        <f t="shared" si="6"/>
        <v>0</v>
      </c>
      <c r="G65" s="28"/>
      <c r="H65" s="25" t="s">
        <v>65</v>
      </c>
      <c r="I65" s="13">
        <v>254.12</v>
      </c>
      <c r="J65" s="48" t="s">
        <v>51</v>
      </c>
      <c r="K65" s="60" t="s">
        <v>54</v>
      </c>
      <c r="L65" s="61"/>
      <c r="M65" s="62"/>
      <c r="N65" s="62"/>
      <c r="O65" s="61"/>
    </row>
    <row r="66" customHeight="1" spans="1:15">
      <c r="A66" s="36"/>
      <c r="B66" s="37">
        <f t="shared" si="5"/>
        <v>0</v>
      </c>
      <c r="C66" s="38"/>
      <c r="D66" s="39"/>
      <c r="E66" s="40"/>
      <c r="F66" s="37">
        <f t="shared" si="6"/>
        <v>0</v>
      </c>
      <c r="G66" s="28"/>
      <c r="H66" s="25" t="s">
        <v>65</v>
      </c>
      <c r="I66" s="13">
        <v>9529.6</v>
      </c>
      <c r="J66" s="48" t="s">
        <v>51</v>
      </c>
      <c r="K66" s="60" t="s">
        <v>57</v>
      </c>
      <c r="L66" s="61"/>
      <c r="M66" s="62"/>
      <c r="N66" s="62"/>
      <c r="O66" s="61"/>
    </row>
    <row r="67" customHeight="1" spans="1:15">
      <c r="A67" s="36"/>
      <c r="B67" s="37">
        <f t="shared" si="5"/>
        <v>0</v>
      </c>
      <c r="C67" s="38"/>
      <c r="D67" s="39"/>
      <c r="E67" s="40"/>
      <c r="F67" s="37">
        <f t="shared" si="6"/>
        <v>0</v>
      </c>
      <c r="G67" s="28"/>
      <c r="H67" s="25" t="s">
        <v>66</v>
      </c>
      <c r="I67" s="13">
        <v>119.1</v>
      </c>
      <c r="J67" s="48" t="s">
        <v>51</v>
      </c>
      <c r="K67" s="60" t="s">
        <v>54</v>
      </c>
      <c r="L67" s="61"/>
      <c r="M67" s="62"/>
      <c r="N67" s="62"/>
      <c r="O67" s="61"/>
    </row>
    <row r="68" customHeight="1" spans="1:15">
      <c r="A68" s="36"/>
      <c r="B68" s="37">
        <f t="shared" si="5"/>
        <v>4466.38</v>
      </c>
      <c r="C68" s="38"/>
      <c r="D68" s="39"/>
      <c r="E68" s="40"/>
      <c r="F68" s="37">
        <f t="shared" si="6"/>
        <v>0</v>
      </c>
      <c r="G68" s="28">
        <v>4466.38</v>
      </c>
      <c r="H68" s="25" t="s">
        <v>66</v>
      </c>
      <c r="I68" s="13">
        <v>4466.38</v>
      </c>
      <c r="J68" s="48" t="s">
        <v>51</v>
      </c>
      <c r="K68" s="60" t="s">
        <v>57</v>
      </c>
      <c r="L68" s="61"/>
      <c r="M68" s="62"/>
      <c r="N68" s="62"/>
      <c r="O68" s="61"/>
    </row>
    <row r="69" customHeight="1" spans="1:15">
      <c r="A69" s="36"/>
      <c r="B69" s="37">
        <f t="shared" si="5"/>
        <v>0</v>
      </c>
      <c r="C69" s="38"/>
      <c r="D69" s="39"/>
      <c r="E69" s="40"/>
      <c r="F69" s="37">
        <f t="shared" si="6"/>
        <v>0</v>
      </c>
      <c r="G69" s="28"/>
      <c r="H69" s="25" t="s">
        <v>67</v>
      </c>
      <c r="I69" s="13">
        <v>500</v>
      </c>
      <c r="J69" s="48" t="s">
        <v>51</v>
      </c>
      <c r="K69" s="60" t="s">
        <v>61</v>
      </c>
      <c r="L69" s="61"/>
      <c r="M69" s="62"/>
      <c r="N69" s="62"/>
      <c r="O69" s="61"/>
    </row>
    <row r="70" customHeight="1" spans="1:15">
      <c r="A70" s="36"/>
      <c r="B70" s="37">
        <f t="shared" si="5"/>
        <v>0</v>
      </c>
      <c r="C70" s="38"/>
      <c r="D70" s="39"/>
      <c r="E70" s="40"/>
      <c r="F70" s="37">
        <f t="shared" si="6"/>
        <v>0</v>
      </c>
      <c r="G70" s="28"/>
      <c r="H70" s="25" t="s">
        <v>67</v>
      </c>
      <c r="I70" s="13">
        <v>283.81</v>
      </c>
      <c r="J70" s="48" t="s">
        <v>51</v>
      </c>
      <c r="K70" s="60" t="s">
        <v>54</v>
      </c>
      <c r="L70" s="61"/>
      <c r="M70" s="62"/>
      <c r="N70" s="62"/>
      <c r="O70" s="61"/>
    </row>
    <row r="71" customHeight="1" spans="1:15">
      <c r="A71" s="36"/>
      <c r="B71" s="37">
        <f t="shared" si="5"/>
        <v>10642.82</v>
      </c>
      <c r="C71" s="38"/>
      <c r="D71" s="39"/>
      <c r="E71" s="40"/>
      <c r="F71" s="37">
        <f t="shared" si="6"/>
        <v>0</v>
      </c>
      <c r="G71" s="28">
        <v>10642.82</v>
      </c>
      <c r="H71" s="25" t="s">
        <v>67</v>
      </c>
      <c r="I71" s="13">
        <v>10642.82</v>
      </c>
      <c r="J71" s="48" t="s">
        <v>51</v>
      </c>
      <c r="K71" s="60" t="s">
        <v>57</v>
      </c>
      <c r="L71" s="61"/>
      <c r="M71" s="62"/>
      <c r="N71" s="62"/>
      <c r="O71" s="61"/>
    </row>
    <row r="72" customHeight="1" spans="1:15">
      <c r="A72" s="36"/>
      <c r="B72" s="37">
        <f t="shared" si="5"/>
        <v>0</v>
      </c>
      <c r="C72" s="38"/>
      <c r="D72" s="39"/>
      <c r="E72" s="40"/>
      <c r="F72" s="37">
        <f t="shared" si="6"/>
        <v>0</v>
      </c>
      <c r="G72" s="28"/>
      <c r="H72" s="25" t="s">
        <v>67</v>
      </c>
      <c r="I72" s="13">
        <v>-409521</v>
      </c>
      <c r="J72" s="48" t="s">
        <v>68</v>
      </c>
      <c r="K72" s="60" t="s">
        <v>69</v>
      </c>
      <c r="L72" s="61"/>
      <c r="M72" s="62"/>
      <c r="N72" s="62"/>
      <c r="O72" s="61"/>
    </row>
    <row r="73" customHeight="1" spans="1:15">
      <c r="A73" s="36"/>
      <c r="B73" s="37">
        <f t="shared" si="5"/>
        <v>0</v>
      </c>
      <c r="C73" s="38"/>
      <c r="D73" s="39"/>
      <c r="E73" s="40"/>
      <c r="F73" s="37">
        <f t="shared" si="6"/>
        <v>0</v>
      </c>
      <c r="G73" s="28"/>
      <c r="H73" s="25" t="s">
        <v>67</v>
      </c>
      <c r="I73" s="13">
        <v>409521</v>
      </c>
      <c r="J73" s="48" t="s">
        <v>52</v>
      </c>
      <c r="K73" s="60" t="s">
        <v>70</v>
      </c>
      <c r="L73" s="61"/>
      <c r="M73" s="62"/>
      <c r="N73" s="62"/>
      <c r="O73" s="61"/>
    </row>
    <row r="74" customHeight="1" spans="1:15">
      <c r="A74" s="31" t="s">
        <v>23</v>
      </c>
      <c r="B74" s="30">
        <f>SUM(B25:B73)</f>
        <v>2787286.55</v>
      </c>
      <c r="C74" s="31"/>
      <c r="D74" s="41"/>
      <c r="E74" s="41"/>
      <c r="F74" s="33">
        <f>SUM(F25:F73)</f>
        <v>1132.08</v>
      </c>
      <c r="G74" s="43">
        <f>SUM(G25:G73)</f>
        <v>2788418.63</v>
      </c>
      <c r="H74" s="44"/>
      <c r="I74" s="31">
        <f>SUM(I25:I73)</f>
        <v>5234297.38</v>
      </c>
      <c r="J74" s="63"/>
      <c r="K74" s="41"/>
      <c r="L74" s="34"/>
      <c r="M74" s="48"/>
      <c r="N74" s="48"/>
      <c r="O74" s="34"/>
    </row>
    <row r="75" customHeight="1" spans="1:15">
      <c r="A75" s="45" t="s">
        <v>71</v>
      </c>
      <c r="B75" s="45">
        <f>B22-B74</f>
        <v>2265240.45</v>
      </c>
      <c r="C75" s="45"/>
      <c r="D75" s="46"/>
      <c r="E75" s="46"/>
      <c r="F75" s="47"/>
      <c r="G75" s="45">
        <f>G22-G74</f>
        <v>2415684.18</v>
      </c>
      <c r="H75" s="24" t="s">
        <v>72</v>
      </c>
      <c r="I75" s="31">
        <f>I22-I74</f>
        <v>297200</v>
      </c>
      <c r="J75" s="54"/>
      <c r="K75" s="64"/>
      <c r="L75" s="54"/>
      <c r="M75" s="65"/>
      <c r="N75" s="65"/>
      <c r="O75" s="54"/>
    </row>
    <row r="76" customHeight="1" spans="1:15">
      <c r="A76" s="21" t="s">
        <v>73</v>
      </c>
      <c r="B76" s="20"/>
      <c r="C76" s="21"/>
      <c r="D76" s="19"/>
      <c r="E76" s="19"/>
      <c r="F76" s="20"/>
      <c r="G76" s="20"/>
      <c r="H76" s="19"/>
      <c r="I76" s="20"/>
      <c r="J76" s="58"/>
      <c r="K76" s="54"/>
      <c r="L76" s="54"/>
      <c r="M76" s="54"/>
      <c r="N76" s="54"/>
      <c r="O76" s="54"/>
    </row>
    <row r="77" customHeight="1" spans="1:15">
      <c r="A77" s="24" t="s">
        <v>74</v>
      </c>
      <c r="B77" s="23" t="s">
        <v>75</v>
      </c>
      <c r="C77" s="34"/>
      <c r="D77" s="24" t="s">
        <v>74</v>
      </c>
      <c r="E77" s="22" t="s">
        <v>15</v>
      </c>
      <c r="F77" s="23" t="s">
        <v>75</v>
      </c>
      <c r="G77" s="23"/>
      <c r="H77" s="19"/>
      <c r="I77" s="20"/>
      <c r="J77" s="58"/>
      <c r="K77" s="54"/>
      <c r="L77" s="54"/>
      <c r="M77" s="54"/>
      <c r="N77" s="54"/>
      <c r="O77" s="54"/>
    </row>
    <row r="78" customHeight="1" spans="1:15">
      <c r="A78" s="34" t="s">
        <v>76</v>
      </c>
      <c r="B78" s="18">
        <f>(B22-B74)*0.25</f>
        <v>566310.112500001</v>
      </c>
      <c r="C78" s="34"/>
      <c r="D78" s="11" t="s">
        <v>77</v>
      </c>
      <c r="E78" s="48" t="s">
        <v>78</v>
      </c>
      <c r="F78" s="49">
        <f>F22-F74</f>
        <v>150443.73</v>
      </c>
      <c r="G78" s="49"/>
      <c r="H78" s="19"/>
      <c r="I78" s="20"/>
      <c r="J78" s="58"/>
      <c r="K78" s="54"/>
      <c r="L78" s="54"/>
      <c r="M78" s="54"/>
      <c r="N78" s="54"/>
      <c r="O78" s="54"/>
    </row>
    <row r="79" customHeight="1" spans="1:15">
      <c r="A79" s="34" t="s">
        <v>54</v>
      </c>
      <c r="B79" s="50"/>
      <c r="C79" s="34"/>
      <c r="D79" s="51" t="s">
        <v>79</v>
      </c>
      <c r="E79" s="14">
        <v>0.05</v>
      </c>
      <c r="F79" s="15">
        <f>F78*E79</f>
        <v>7522.1865</v>
      </c>
      <c r="G79" s="15"/>
      <c r="H79" s="19"/>
      <c r="I79" s="20"/>
      <c r="J79" s="58"/>
      <c r="K79" s="54"/>
      <c r="L79" s="54"/>
      <c r="M79" s="54"/>
      <c r="N79" s="54"/>
      <c r="O79" s="54"/>
    </row>
    <row r="80" customHeight="1" spans="1:15">
      <c r="A80" s="34" t="s">
        <v>80</v>
      </c>
      <c r="B80" s="50"/>
      <c r="C80" s="34"/>
      <c r="D80" s="51" t="s">
        <v>81</v>
      </c>
      <c r="E80" s="14">
        <v>0.03</v>
      </c>
      <c r="F80" s="15">
        <f>F78*E80</f>
        <v>4513.3119</v>
      </c>
      <c r="G80" s="15"/>
      <c r="H80" s="19"/>
      <c r="I80" s="20"/>
      <c r="J80" s="58"/>
      <c r="K80" s="54"/>
      <c r="L80" s="54"/>
      <c r="M80" s="54"/>
      <c r="N80" s="54"/>
      <c r="O80" s="54"/>
    </row>
    <row r="81" customHeight="1" spans="1:15">
      <c r="A81" s="34"/>
      <c r="B81" s="15"/>
      <c r="C81" s="34"/>
      <c r="D81" s="51" t="s">
        <v>82</v>
      </c>
      <c r="E81" s="14">
        <v>0.02</v>
      </c>
      <c r="F81" s="15">
        <f>F78*E81</f>
        <v>3008.8746</v>
      </c>
      <c r="G81" s="15"/>
      <c r="H81" s="19"/>
      <c r="I81" s="20"/>
      <c r="J81" s="58"/>
      <c r="K81" s="54"/>
      <c r="L81" s="54"/>
      <c r="M81" s="54"/>
      <c r="N81" s="54"/>
      <c r="O81" s="54"/>
    </row>
    <row r="82" customHeight="1" spans="1:15">
      <c r="A82" s="29" t="s">
        <v>83</v>
      </c>
      <c r="B82" s="52">
        <f>SUM(B78:B81)</f>
        <v>566310.112500001</v>
      </c>
      <c r="C82" s="34"/>
      <c r="D82" s="29" t="s">
        <v>83</v>
      </c>
      <c r="E82" s="29"/>
      <c r="F82" s="42">
        <f>SUM(F78:F81)</f>
        <v>165488.103</v>
      </c>
      <c r="G82" s="42"/>
      <c r="H82" s="19"/>
      <c r="I82" s="20"/>
      <c r="J82" s="58"/>
      <c r="K82" s="54"/>
      <c r="L82" s="54"/>
      <c r="M82" s="54"/>
      <c r="N82" s="54"/>
      <c r="O82" s="54"/>
    </row>
    <row r="83" customHeight="1" spans="1:15">
      <c r="A83" s="21"/>
      <c r="B83" s="20"/>
      <c r="C83" s="21"/>
      <c r="D83" s="13" t="s">
        <v>54</v>
      </c>
      <c r="E83" s="53">
        <v>0.0003</v>
      </c>
      <c r="F83" s="15">
        <f>G22*E83</f>
        <v>1561.230843</v>
      </c>
      <c r="G83" s="15"/>
      <c r="H83" s="19"/>
      <c r="I83" s="20"/>
      <c r="J83" s="58"/>
      <c r="K83" s="54"/>
      <c r="L83" s="54"/>
      <c r="M83" s="54"/>
      <c r="N83" s="54"/>
      <c r="O83" s="54"/>
    </row>
    <row r="84" customHeight="1" spans="1:15">
      <c r="A84" s="21"/>
      <c r="B84" s="20"/>
      <c r="C84" s="21"/>
      <c r="D84" s="13" t="s">
        <v>80</v>
      </c>
      <c r="E84" s="53">
        <v>0.0006</v>
      </c>
      <c r="F84" s="15">
        <f>B22*E84</f>
        <v>3031.5162</v>
      </c>
      <c r="G84" s="15"/>
      <c r="H84" s="19"/>
      <c r="I84" s="20"/>
      <c r="J84" s="58"/>
      <c r="K84" s="54"/>
      <c r="L84" s="54"/>
      <c r="M84" s="54"/>
      <c r="N84" s="54"/>
      <c r="O84" s="54"/>
    </row>
    <row r="85" customHeight="1" spans="1:15">
      <c r="A85" s="21"/>
      <c r="B85" s="20"/>
      <c r="C85" s="21"/>
      <c r="D85" s="31" t="s">
        <v>23</v>
      </c>
      <c r="E85" s="31"/>
      <c r="F85" s="32">
        <f>F82+F83+F84</f>
        <v>170080.850043</v>
      </c>
      <c r="G85" s="32"/>
      <c r="H85" s="19"/>
      <c r="I85" s="20"/>
      <c r="J85" s="58"/>
      <c r="K85" s="54"/>
      <c r="L85" s="54"/>
      <c r="M85" s="54"/>
      <c r="N85" s="54"/>
      <c r="O85" s="54"/>
    </row>
    <row r="86" customHeight="1" spans="1:15">
      <c r="A86" s="21"/>
      <c r="B86" s="20"/>
      <c r="C86" s="21"/>
      <c r="D86" s="19"/>
      <c r="E86" s="19"/>
      <c r="F86" s="20"/>
      <c r="G86" s="20"/>
      <c r="H86" s="19"/>
      <c r="I86" s="20"/>
      <c r="J86" s="58"/>
      <c r="K86" s="54"/>
      <c r="L86" s="54"/>
      <c r="M86" s="54"/>
      <c r="N86" s="54"/>
      <c r="O86" s="54"/>
    </row>
    <row r="87" customHeight="1" spans="1:15">
      <c r="A87" s="21"/>
      <c r="B87" s="20"/>
      <c r="C87" s="21"/>
      <c r="D87" s="19"/>
      <c r="E87" s="19"/>
      <c r="F87" s="20"/>
      <c r="G87" s="20"/>
      <c r="H87" s="19"/>
      <c r="I87" s="20"/>
      <c r="J87" s="58"/>
      <c r="K87" s="54"/>
      <c r="L87" s="54"/>
      <c r="M87" s="54"/>
      <c r="N87" s="54"/>
      <c r="O87" s="54"/>
    </row>
    <row r="88" customHeight="1" spans="1:15">
      <c r="A88" s="21"/>
      <c r="B88" s="20"/>
      <c r="C88" s="21"/>
      <c r="D88" s="19"/>
      <c r="E88" s="19"/>
      <c r="F88" s="20"/>
      <c r="G88" s="20"/>
      <c r="H88" s="19"/>
      <c r="I88" s="20"/>
      <c r="J88" s="58"/>
      <c r="K88" s="54"/>
      <c r="L88" s="54"/>
      <c r="M88" s="54"/>
      <c r="N88" s="54"/>
      <c r="O88" s="5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B43" sqref="B43"/>
    </sheetView>
  </sheetViews>
  <sheetFormatPr defaultColWidth="9" defaultRowHeight="20.1" customHeight="1"/>
  <cols>
    <col min="2" max="2" width="12.5" customWidth="1"/>
    <col min="3" max="3" width="7.5" customWidth="1"/>
    <col min="4" max="4" width="11.625" customWidth="1"/>
    <col min="5" max="5" width="6.5" customWidth="1"/>
    <col min="6" max="6" width="12.5" customWidth="1"/>
    <col min="7" max="7" width="16.125" customWidth="1"/>
    <col min="9" max="9" width="12.875" customWidth="1"/>
    <col min="10" max="10" width="7.625" customWidth="1"/>
    <col min="11" max="11" width="23.875" customWidth="1"/>
  </cols>
  <sheetData>
    <row r="1" customHeight="1" spans="1:15">
      <c r="A1" s="9" t="s">
        <v>0</v>
      </c>
      <c r="B1" s="9"/>
      <c r="C1" s="9"/>
      <c r="D1" s="9"/>
      <c r="E1" s="9"/>
      <c r="F1" s="10"/>
      <c r="G1" s="10"/>
      <c r="H1" s="9"/>
      <c r="I1" s="10"/>
      <c r="J1" s="9"/>
      <c r="K1" s="1"/>
      <c r="L1" s="1"/>
      <c r="M1" s="54"/>
      <c r="N1" s="54"/>
      <c r="O1" s="54"/>
    </row>
    <row r="2" customHeight="1" spans="1:15">
      <c r="A2" s="11" t="s">
        <v>1</v>
      </c>
      <c r="B2" s="12">
        <v>42550</v>
      </c>
      <c r="C2" s="13" t="s">
        <v>2</v>
      </c>
      <c r="D2" s="13">
        <v>13286938</v>
      </c>
      <c r="E2" s="14" t="s">
        <v>3</v>
      </c>
      <c r="F2" s="15"/>
      <c r="G2" s="16" t="s">
        <v>4</v>
      </c>
      <c r="H2" s="17" t="s">
        <v>5</v>
      </c>
      <c r="I2" s="55"/>
      <c r="J2" s="56"/>
      <c r="K2" s="1"/>
      <c r="L2" s="1"/>
      <c r="M2" s="54"/>
      <c r="N2" s="54"/>
      <c r="O2" s="54"/>
    </row>
    <row r="3" customHeight="1" spans="1:15">
      <c r="A3" s="11" t="s">
        <v>6</v>
      </c>
      <c r="B3" s="18"/>
      <c r="C3" s="13" t="s">
        <v>7</v>
      </c>
      <c r="D3" s="13"/>
      <c r="E3" s="19"/>
      <c r="F3" s="20"/>
      <c r="G3" s="20"/>
      <c r="H3" s="1"/>
      <c r="I3" s="57"/>
      <c r="J3" s="1"/>
      <c r="K3" s="1"/>
      <c r="L3" s="1"/>
      <c r="M3" s="54"/>
      <c r="N3" s="54"/>
      <c r="O3" s="54"/>
    </row>
    <row r="4" customHeight="1" spans="1:15">
      <c r="A4" s="21" t="s">
        <v>8</v>
      </c>
      <c r="B4" s="20"/>
      <c r="C4" s="19"/>
      <c r="D4" s="19"/>
      <c r="E4" s="19"/>
      <c r="F4" s="20"/>
      <c r="G4" s="20"/>
      <c r="H4" s="1"/>
      <c r="I4" s="57"/>
      <c r="J4" s="1"/>
      <c r="K4" s="1"/>
      <c r="L4" s="1"/>
      <c r="M4" s="54"/>
      <c r="N4" s="54"/>
      <c r="O4" s="54"/>
    </row>
    <row r="5" customHeight="1" spans="1:15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  <c r="K5" s="54"/>
      <c r="L5" s="54"/>
      <c r="M5" s="54"/>
      <c r="N5" s="54"/>
      <c r="O5" s="54"/>
    </row>
    <row r="6" customHeight="1" spans="1:15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  <c r="K6" s="54"/>
      <c r="L6" s="54"/>
      <c r="M6" s="54"/>
      <c r="N6" s="54"/>
      <c r="O6" s="54"/>
    </row>
    <row r="7" customHeight="1" spans="1:15">
      <c r="A7" s="25">
        <v>42717</v>
      </c>
      <c r="B7" s="13">
        <f>G7/(1+C7+E7)</f>
        <v>918473.155339806</v>
      </c>
      <c r="C7" s="26"/>
      <c r="D7" s="68">
        <f>G7/(1+E7+C7)*C7</f>
        <v>0</v>
      </c>
      <c r="E7" s="26">
        <v>0.03</v>
      </c>
      <c r="F7" s="13">
        <f>G7/(1+C7+E7)*E7</f>
        <v>27554.1946601942</v>
      </c>
      <c r="G7" s="28">
        <v>946027.35</v>
      </c>
      <c r="H7" s="25">
        <v>42683</v>
      </c>
      <c r="I7" s="13">
        <v>709521</v>
      </c>
      <c r="J7" s="48" t="s">
        <v>20</v>
      </c>
      <c r="K7" s="54" t="s">
        <v>21</v>
      </c>
      <c r="L7" s="54"/>
      <c r="M7" s="54"/>
      <c r="N7" s="54"/>
      <c r="O7" s="54"/>
    </row>
    <row r="8" customHeight="1" spans="1:15">
      <c r="A8" s="25">
        <v>42751</v>
      </c>
      <c r="B8" s="13">
        <f t="shared" ref="B8:B11" si="0">G8/(1+C8+E8)</f>
        <v>385449.155339806</v>
      </c>
      <c r="C8" s="26"/>
      <c r="D8" s="68">
        <f t="shared" ref="D8:D10" si="1">G8/(1+E8+C8)*C8</f>
        <v>0</v>
      </c>
      <c r="E8" s="26">
        <v>0.03</v>
      </c>
      <c r="F8" s="13">
        <f t="shared" ref="F8:F10" si="2">G8/(1+C8+E8)*E8</f>
        <v>11563.4746601942</v>
      </c>
      <c r="G8" s="28">
        <v>397012.63</v>
      </c>
      <c r="H8" s="25">
        <v>42740</v>
      </c>
      <c r="I8" s="13">
        <v>297758.98</v>
      </c>
      <c r="J8" s="48" t="s">
        <v>20</v>
      </c>
      <c r="K8" s="54"/>
      <c r="L8" s="54"/>
      <c r="M8" s="54"/>
      <c r="N8" s="54"/>
      <c r="O8" s="54"/>
    </row>
    <row r="9" customHeight="1" spans="1:15">
      <c r="A9" s="25">
        <v>42753</v>
      </c>
      <c r="B9" s="13">
        <f t="shared" si="0"/>
        <v>822403.601941747</v>
      </c>
      <c r="C9" s="26"/>
      <c r="D9" s="68">
        <f t="shared" si="1"/>
        <v>0</v>
      </c>
      <c r="E9" s="26">
        <v>0.03</v>
      </c>
      <c r="F9" s="13">
        <f t="shared" si="2"/>
        <v>24672.1080582524</v>
      </c>
      <c r="G9" s="28">
        <v>847075.71</v>
      </c>
      <c r="H9" s="25">
        <v>42754</v>
      </c>
      <c r="I9" s="13">
        <v>635306.78</v>
      </c>
      <c r="J9" s="48" t="s">
        <v>20</v>
      </c>
      <c r="K9" s="54"/>
      <c r="L9" s="54"/>
      <c r="M9" s="54"/>
      <c r="N9" s="54"/>
      <c r="O9" s="54"/>
    </row>
    <row r="10" customHeight="1" spans="1:15">
      <c r="A10" s="25">
        <v>42926</v>
      </c>
      <c r="B10" s="13">
        <f t="shared" si="0"/>
        <v>643771.223300971</v>
      </c>
      <c r="C10" s="26"/>
      <c r="D10" s="68">
        <f t="shared" si="1"/>
        <v>0</v>
      </c>
      <c r="E10" s="26">
        <v>0.03</v>
      </c>
      <c r="F10" s="13">
        <f t="shared" si="2"/>
        <v>19313.1366990291</v>
      </c>
      <c r="G10" s="28">
        <v>663084.36</v>
      </c>
      <c r="H10" s="25">
        <v>42845</v>
      </c>
      <c r="I10" s="13">
        <v>311897.35</v>
      </c>
      <c r="J10" s="48" t="s">
        <v>20</v>
      </c>
      <c r="K10" s="54"/>
      <c r="L10" s="54"/>
      <c r="M10" s="54"/>
      <c r="N10" s="54"/>
      <c r="O10" s="54"/>
    </row>
    <row r="11" customHeight="1" spans="1:15">
      <c r="A11" s="25">
        <v>43039</v>
      </c>
      <c r="B11" s="13">
        <f t="shared" si="0"/>
        <v>357162.495145631</v>
      </c>
      <c r="C11" s="26"/>
      <c r="D11" s="68">
        <f t="shared" ref="D11:D16" si="3">G11/(1+E11+C11)*C11</f>
        <v>0</v>
      </c>
      <c r="E11" s="26">
        <v>0.03</v>
      </c>
      <c r="F11" s="13">
        <f t="shared" ref="F11:F16" si="4">G11/(1+C11+E11)*E11</f>
        <v>10714.8748543689</v>
      </c>
      <c r="G11" s="28">
        <v>367877.37</v>
      </c>
      <c r="H11" s="25">
        <v>42935</v>
      </c>
      <c r="I11" s="13">
        <v>489813.27</v>
      </c>
      <c r="J11" s="48" t="s">
        <v>20</v>
      </c>
      <c r="K11" s="54"/>
      <c r="L11" s="54"/>
      <c r="M11" s="54"/>
      <c r="N11" s="54"/>
      <c r="O11" s="54"/>
    </row>
    <row r="12" customHeight="1" spans="1:15">
      <c r="A12" s="25">
        <v>43142</v>
      </c>
      <c r="B12" s="13">
        <f t="shared" ref="B12:B16" si="5">G12/(1+C12+E12)</f>
        <v>1713337.33009709</v>
      </c>
      <c r="C12" s="26"/>
      <c r="D12" s="68">
        <f t="shared" si="3"/>
        <v>0</v>
      </c>
      <c r="E12" s="26">
        <v>0.03</v>
      </c>
      <c r="F12" s="13">
        <f t="shared" si="4"/>
        <v>51400.1199029126</v>
      </c>
      <c r="G12" s="28">
        <v>1764737.45</v>
      </c>
      <c r="H12" s="25">
        <v>43038</v>
      </c>
      <c r="I12" s="13">
        <v>200000</v>
      </c>
      <c r="J12" s="48" t="s">
        <v>20</v>
      </c>
      <c r="K12" s="54"/>
      <c r="L12" s="54"/>
      <c r="M12" s="54"/>
      <c r="N12" s="54"/>
      <c r="O12" s="54"/>
    </row>
    <row r="13" customHeight="1" spans="1:15">
      <c r="A13" s="25">
        <v>43847</v>
      </c>
      <c r="B13" s="13">
        <f t="shared" si="5"/>
        <v>211930.038834951</v>
      </c>
      <c r="C13" s="26"/>
      <c r="D13" s="68">
        <f t="shared" si="3"/>
        <v>0</v>
      </c>
      <c r="E13" s="26">
        <v>0.03</v>
      </c>
      <c r="F13" s="13">
        <f t="shared" si="4"/>
        <v>6357.90116504854</v>
      </c>
      <c r="G13" s="28">
        <v>218287.94</v>
      </c>
      <c r="H13" s="25">
        <v>43142</v>
      </c>
      <c r="I13" s="13">
        <v>1200000</v>
      </c>
      <c r="J13" s="48" t="s">
        <v>20</v>
      </c>
      <c r="K13" s="54"/>
      <c r="L13" s="54"/>
      <c r="M13" s="54"/>
      <c r="N13" s="54"/>
      <c r="O13" s="54"/>
    </row>
    <row r="14" customHeight="1" spans="1:15">
      <c r="A14" s="25"/>
      <c r="B14" s="13">
        <f t="shared" si="5"/>
        <v>0</v>
      </c>
      <c r="C14" s="26"/>
      <c r="D14" s="68">
        <f t="shared" si="3"/>
        <v>0</v>
      </c>
      <c r="E14" s="26">
        <v>0.03</v>
      </c>
      <c r="F14" s="13">
        <f t="shared" si="4"/>
        <v>0</v>
      </c>
      <c r="G14" s="28"/>
      <c r="H14" s="25">
        <v>43497</v>
      </c>
      <c r="I14" s="13">
        <v>1000000</v>
      </c>
      <c r="J14" s="48" t="s">
        <v>20</v>
      </c>
      <c r="K14" s="54"/>
      <c r="L14" s="54"/>
      <c r="M14" s="54"/>
      <c r="N14" s="54"/>
      <c r="O14" s="54"/>
    </row>
    <row r="15" customHeight="1" spans="1:15">
      <c r="A15" s="25"/>
      <c r="B15" s="13">
        <f t="shared" si="5"/>
        <v>0</v>
      </c>
      <c r="C15" s="26"/>
      <c r="D15" s="68">
        <f t="shared" si="3"/>
        <v>0</v>
      </c>
      <c r="E15" s="26">
        <v>0.03</v>
      </c>
      <c r="F15" s="13">
        <f t="shared" si="4"/>
        <v>0</v>
      </c>
      <c r="G15" s="28"/>
      <c r="H15" s="25">
        <v>43622</v>
      </c>
      <c r="I15" s="13">
        <v>100000</v>
      </c>
      <c r="J15" s="48" t="s">
        <v>20</v>
      </c>
      <c r="K15" s="54"/>
      <c r="L15" s="54"/>
      <c r="M15" s="54"/>
      <c r="N15" s="54"/>
      <c r="O15" s="54"/>
    </row>
    <row r="16" customHeight="1" spans="1:15">
      <c r="A16" s="25"/>
      <c r="B16" s="13">
        <f t="shared" si="5"/>
        <v>0</v>
      </c>
      <c r="C16" s="26"/>
      <c r="D16" s="68">
        <f t="shared" si="3"/>
        <v>0</v>
      </c>
      <c r="E16" s="26">
        <v>0.03</v>
      </c>
      <c r="F16" s="13">
        <f t="shared" si="4"/>
        <v>0</v>
      </c>
      <c r="G16" s="28"/>
      <c r="H16" s="25">
        <v>43851</v>
      </c>
      <c r="I16" s="13">
        <v>290000</v>
      </c>
      <c r="J16" s="48" t="s">
        <v>20</v>
      </c>
      <c r="K16" s="54"/>
      <c r="L16" s="54"/>
      <c r="M16" s="54"/>
      <c r="N16" s="54"/>
      <c r="O16" s="54"/>
    </row>
    <row r="17" customHeight="1" spans="1:15">
      <c r="A17" s="29" t="s">
        <v>23</v>
      </c>
      <c r="B17" s="30">
        <f>SUM(B7:B16)</f>
        <v>5052527</v>
      </c>
      <c r="C17" s="31"/>
      <c r="D17" s="31">
        <f t="shared" ref="D17:G17" si="6">SUM(D7:D16)</f>
        <v>0</v>
      </c>
      <c r="E17" s="31"/>
      <c r="F17" s="33">
        <f t="shared" si="6"/>
        <v>151575.81</v>
      </c>
      <c r="G17" s="31">
        <f t="shared" si="6"/>
        <v>5204102.81</v>
      </c>
      <c r="H17" s="34"/>
      <c r="I17" s="31">
        <f>SUM(I7:I16)</f>
        <v>5234297.38</v>
      </c>
      <c r="J17" s="34"/>
      <c r="K17" s="54"/>
      <c r="L17" s="54"/>
      <c r="M17" s="54"/>
      <c r="N17" s="54"/>
      <c r="O17" s="54"/>
    </row>
    <row r="18" customHeight="1" spans="1:15">
      <c r="A18" s="21" t="s">
        <v>24</v>
      </c>
      <c r="B18" s="20"/>
      <c r="C18" s="19"/>
      <c r="D18" s="19"/>
      <c r="E18" s="19"/>
      <c r="F18" s="20"/>
      <c r="G18" s="20"/>
      <c r="H18" s="19"/>
      <c r="I18" s="20"/>
      <c r="J18" s="19"/>
      <c r="K18" s="19"/>
      <c r="L18" s="58"/>
      <c r="M18" s="54"/>
      <c r="N18" s="54"/>
      <c r="O18" s="54"/>
    </row>
    <row r="19" customHeight="1" spans="1:15">
      <c r="A19" s="35" t="s">
        <v>25</v>
      </c>
      <c r="B19" s="23" t="s">
        <v>26</v>
      </c>
      <c r="C19" s="22" t="s">
        <v>27</v>
      </c>
      <c r="D19" s="22" t="s">
        <v>28</v>
      </c>
      <c r="E19" s="22" t="s">
        <v>15</v>
      </c>
      <c r="F19" s="23" t="s">
        <v>29</v>
      </c>
      <c r="G19" s="23" t="s">
        <v>13</v>
      </c>
      <c r="H19" s="22" t="s">
        <v>30</v>
      </c>
      <c r="I19" s="23" t="s">
        <v>31</v>
      </c>
      <c r="J19" s="22" t="s">
        <v>19</v>
      </c>
      <c r="K19" s="59" t="s">
        <v>32</v>
      </c>
      <c r="L19" s="24" t="s">
        <v>33</v>
      </c>
      <c r="M19" s="24" t="s">
        <v>34</v>
      </c>
      <c r="N19" s="24" t="s">
        <v>35</v>
      </c>
      <c r="O19" s="24" t="s">
        <v>36</v>
      </c>
    </row>
    <row r="20" customHeight="1" spans="1:15">
      <c r="A20" s="36">
        <v>42917</v>
      </c>
      <c r="B20" s="37">
        <f>ROUND(G20/(1+E20),2)</f>
        <v>700000</v>
      </c>
      <c r="C20" s="38"/>
      <c r="D20" s="39" t="s">
        <v>37</v>
      </c>
      <c r="E20" s="40"/>
      <c r="F20" s="37">
        <f>ROUND(G20/(1+E20)*E20,2)</f>
        <v>0</v>
      </c>
      <c r="G20" s="28">
        <v>700000</v>
      </c>
      <c r="H20" s="25"/>
      <c r="I20" s="13"/>
      <c r="J20" s="48"/>
      <c r="K20" s="60"/>
      <c r="L20" s="61" t="s">
        <v>39</v>
      </c>
      <c r="M20" s="62"/>
      <c r="N20" s="62"/>
      <c r="O20" s="61"/>
    </row>
    <row r="21" customHeight="1" spans="1:15">
      <c r="A21" s="36">
        <v>43149</v>
      </c>
      <c r="B21" s="37">
        <f>ROUND(G21/(1+E21),2)</f>
        <v>1764737.45</v>
      </c>
      <c r="C21" s="38"/>
      <c r="D21" s="39" t="s">
        <v>37</v>
      </c>
      <c r="E21" s="40"/>
      <c r="F21" s="37">
        <f>ROUND(G21/(1+E21)*E21,2)</f>
        <v>0</v>
      </c>
      <c r="G21" s="28">
        <v>1764737.45</v>
      </c>
      <c r="H21" s="25"/>
      <c r="I21" s="13"/>
      <c r="J21" s="48"/>
      <c r="K21" s="60" t="s">
        <v>38</v>
      </c>
      <c r="L21" s="61"/>
      <c r="M21" s="62"/>
      <c r="N21" s="62"/>
      <c r="O21" s="61"/>
    </row>
    <row r="22" customHeight="1" spans="1:15">
      <c r="A22" s="36"/>
      <c r="B22" s="37">
        <f>ROUND(G22/(1+E22),2)</f>
        <v>0</v>
      </c>
      <c r="C22" s="38"/>
      <c r="D22" s="39"/>
      <c r="E22" s="40"/>
      <c r="F22" s="37">
        <f>ROUND(G22/(1+E22)*E22,2)</f>
        <v>0</v>
      </c>
      <c r="G22" s="28"/>
      <c r="H22" s="25">
        <v>43143</v>
      </c>
      <c r="I22" s="13">
        <v>1180970.58</v>
      </c>
      <c r="J22" s="48" t="s">
        <v>20</v>
      </c>
      <c r="K22" s="60" t="s">
        <v>43</v>
      </c>
      <c r="L22" s="61"/>
      <c r="M22" s="62"/>
      <c r="N22" s="62"/>
      <c r="O22" s="61"/>
    </row>
    <row r="23" customHeight="1" spans="1:15">
      <c r="A23" s="36"/>
      <c r="B23" s="37">
        <f t="shared" ref="B23:B33" si="7">ROUND(G23/(1+E23),2)</f>
        <v>0</v>
      </c>
      <c r="C23" s="38"/>
      <c r="D23" s="39"/>
      <c r="E23" s="40"/>
      <c r="F23" s="37">
        <f t="shared" ref="F23:F33" si="8">ROUND(G23/(1+E23)*E23,2)</f>
        <v>0</v>
      </c>
      <c r="G23" s="28"/>
      <c r="H23" s="25">
        <v>42684</v>
      </c>
      <c r="I23" s="13">
        <v>300000</v>
      </c>
      <c r="J23" s="48" t="s">
        <v>41</v>
      </c>
      <c r="K23" s="60" t="s">
        <v>42</v>
      </c>
      <c r="L23" s="61"/>
      <c r="M23" s="62"/>
      <c r="N23" s="62"/>
      <c r="O23" s="61"/>
    </row>
    <row r="24" customHeight="1" spans="1:15">
      <c r="A24" s="36"/>
      <c r="B24" s="37">
        <f t="shared" si="7"/>
        <v>0</v>
      </c>
      <c r="C24" s="38"/>
      <c r="D24" s="39"/>
      <c r="E24" s="40"/>
      <c r="F24" s="37">
        <f t="shared" si="8"/>
        <v>0</v>
      </c>
      <c r="G24" s="28"/>
      <c r="H24" s="25">
        <v>42719</v>
      </c>
      <c r="I24" s="13">
        <v>398094.37</v>
      </c>
      <c r="J24" s="48" t="s">
        <v>41</v>
      </c>
      <c r="K24" s="60" t="s">
        <v>42</v>
      </c>
      <c r="L24" s="61"/>
      <c r="M24" s="62"/>
      <c r="N24" s="62"/>
      <c r="O24" s="61"/>
    </row>
    <row r="25" customHeight="1" spans="1:15">
      <c r="A25" s="36"/>
      <c r="B25" s="37">
        <f t="shared" si="7"/>
        <v>0</v>
      </c>
      <c r="C25" s="38"/>
      <c r="D25" s="39"/>
      <c r="E25" s="40"/>
      <c r="F25" s="37">
        <f t="shared" si="8"/>
        <v>0</v>
      </c>
      <c r="G25" s="28"/>
      <c r="H25" s="25">
        <v>42752</v>
      </c>
      <c r="I25" s="13">
        <v>293173</v>
      </c>
      <c r="J25" s="48" t="s">
        <v>41</v>
      </c>
      <c r="K25" s="60" t="s">
        <v>42</v>
      </c>
      <c r="L25" s="61"/>
      <c r="M25" s="62"/>
      <c r="N25" s="62"/>
      <c r="O25" s="61"/>
    </row>
    <row r="26" customHeight="1" spans="1:15">
      <c r="A26" s="36"/>
      <c r="B26" s="37">
        <f t="shared" si="7"/>
        <v>0</v>
      </c>
      <c r="C26" s="38"/>
      <c r="D26" s="39"/>
      <c r="E26" s="40"/>
      <c r="F26" s="37">
        <f t="shared" si="8"/>
        <v>0</v>
      </c>
      <c r="G26" s="28"/>
      <c r="H26" s="25">
        <v>42755</v>
      </c>
      <c r="I26" s="13">
        <v>625523.06</v>
      </c>
      <c r="J26" s="48" t="s">
        <v>41</v>
      </c>
      <c r="K26" s="60" t="s">
        <v>42</v>
      </c>
      <c r="L26" s="61"/>
      <c r="M26" s="62"/>
      <c r="N26" s="62"/>
      <c r="O26" s="61"/>
    </row>
    <row r="27" customHeight="1" spans="1:15">
      <c r="A27" s="36"/>
      <c r="B27" s="37">
        <f t="shared" si="7"/>
        <v>0</v>
      </c>
      <c r="C27" s="38"/>
      <c r="D27" s="39"/>
      <c r="E27" s="40"/>
      <c r="F27" s="37">
        <f t="shared" si="8"/>
        <v>0</v>
      </c>
      <c r="G27" s="28"/>
      <c r="H27" s="25">
        <v>42850</v>
      </c>
      <c r="I27" s="13">
        <v>307218.89</v>
      </c>
      <c r="J27" s="48" t="s">
        <v>41</v>
      </c>
      <c r="K27" s="60" t="s">
        <v>42</v>
      </c>
      <c r="L27" s="61"/>
      <c r="M27" s="62"/>
      <c r="N27" s="62"/>
      <c r="O27" s="61"/>
    </row>
    <row r="28" customHeight="1" spans="1:15">
      <c r="A28" s="36"/>
      <c r="B28" s="37">
        <f t="shared" si="7"/>
        <v>0</v>
      </c>
      <c r="C28" s="38"/>
      <c r="D28" s="39"/>
      <c r="E28" s="40"/>
      <c r="F28" s="37">
        <f t="shared" si="8"/>
        <v>0</v>
      </c>
      <c r="G28" s="28"/>
      <c r="H28" s="25">
        <v>42940</v>
      </c>
      <c r="I28" s="13">
        <v>481767.14</v>
      </c>
      <c r="J28" s="48" t="s">
        <v>41</v>
      </c>
      <c r="K28" s="60" t="s">
        <v>42</v>
      </c>
      <c r="L28" s="61"/>
      <c r="M28" s="62"/>
      <c r="N28" s="62"/>
      <c r="O28" s="61"/>
    </row>
    <row r="29" customHeight="1" spans="1:15">
      <c r="A29" s="36"/>
      <c r="B29" s="37">
        <f t="shared" si="7"/>
        <v>0</v>
      </c>
      <c r="C29" s="38"/>
      <c r="D29" s="39"/>
      <c r="E29" s="40"/>
      <c r="F29" s="37">
        <f t="shared" si="8"/>
        <v>0</v>
      </c>
      <c r="G29" s="28"/>
      <c r="H29" s="25">
        <v>43054</v>
      </c>
      <c r="I29" s="13">
        <v>196889.64</v>
      </c>
      <c r="J29" s="48" t="s">
        <v>41</v>
      </c>
      <c r="K29" s="60" t="s">
        <v>42</v>
      </c>
      <c r="L29" s="61"/>
      <c r="M29" s="62"/>
      <c r="N29" s="62"/>
      <c r="O29" s="61"/>
    </row>
    <row r="30" customHeight="1" spans="1:15">
      <c r="A30" s="36"/>
      <c r="B30" s="37">
        <f t="shared" ref="B30:B39" si="9">ROUND(G30/(1+E30),2)</f>
        <v>0</v>
      </c>
      <c r="C30" s="38"/>
      <c r="D30" s="39"/>
      <c r="E30" s="40"/>
      <c r="F30" s="37">
        <f t="shared" ref="F30:F39" si="10">ROUND(G30/(1+E30)*E30,2)</f>
        <v>0</v>
      </c>
      <c r="G30" s="28"/>
      <c r="H30" s="25"/>
      <c r="I30" s="13"/>
      <c r="J30" s="48"/>
      <c r="K30" s="60"/>
      <c r="L30" s="61"/>
      <c r="M30" s="62"/>
      <c r="N30" s="62"/>
      <c r="O30" s="61"/>
    </row>
    <row r="31" customHeight="1" spans="1:15">
      <c r="A31" s="36"/>
      <c r="B31" s="37">
        <f t="shared" si="9"/>
        <v>0</v>
      </c>
      <c r="C31" s="38"/>
      <c r="D31" s="39"/>
      <c r="E31" s="40"/>
      <c r="F31" s="37">
        <f t="shared" si="10"/>
        <v>0</v>
      </c>
      <c r="G31" s="28"/>
      <c r="H31" s="25"/>
      <c r="I31" s="13"/>
      <c r="J31" s="48"/>
      <c r="K31" s="60"/>
      <c r="L31" s="61"/>
      <c r="M31" s="62"/>
      <c r="N31" s="62"/>
      <c r="O31" s="61"/>
    </row>
    <row r="32" customHeight="1" spans="1:15">
      <c r="A32" s="36"/>
      <c r="B32" s="37">
        <f t="shared" si="9"/>
        <v>0</v>
      </c>
      <c r="C32" s="38"/>
      <c r="D32" s="39"/>
      <c r="E32" s="40"/>
      <c r="F32" s="37">
        <f t="shared" si="10"/>
        <v>0</v>
      </c>
      <c r="G32" s="28"/>
      <c r="H32" s="25" t="s">
        <v>50</v>
      </c>
      <c r="I32" s="13">
        <v>100</v>
      </c>
      <c r="J32" s="48" t="s">
        <v>51</v>
      </c>
      <c r="K32" s="60" t="s">
        <v>55</v>
      </c>
      <c r="L32" s="61"/>
      <c r="M32" s="62"/>
      <c r="N32" s="62"/>
      <c r="O32" s="61"/>
    </row>
    <row r="33" customHeight="1" spans="1:15">
      <c r="A33" s="36"/>
      <c r="B33" s="37">
        <f t="shared" si="9"/>
        <v>0</v>
      </c>
      <c r="C33" s="38"/>
      <c r="D33" s="39"/>
      <c r="E33" s="40"/>
      <c r="F33" s="37">
        <f t="shared" si="10"/>
        <v>0</v>
      </c>
      <c r="G33" s="28"/>
      <c r="H33" s="25" t="s">
        <v>50</v>
      </c>
      <c r="I33" s="13">
        <v>2900</v>
      </c>
      <c r="J33" s="48" t="s">
        <v>52</v>
      </c>
      <c r="K33" s="60" t="s">
        <v>56</v>
      </c>
      <c r="L33" s="61"/>
      <c r="M33" s="62"/>
      <c r="N33" s="62"/>
      <c r="O33" s="61"/>
    </row>
    <row r="34" customHeight="1" spans="1:15">
      <c r="A34" s="36"/>
      <c r="B34" s="37">
        <f t="shared" si="9"/>
        <v>0</v>
      </c>
      <c r="C34" s="38"/>
      <c r="D34" s="39"/>
      <c r="E34" s="40"/>
      <c r="F34" s="37">
        <f t="shared" si="10"/>
        <v>0</v>
      </c>
      <c r="G34" s="28"/>
      <c r="H34" s="25" t="s">
        <v>58</v>
      </c>
      <c r="I34" s="13">
        <v>1000</v>
      </c>
      <c r="J34" s="48" t="s">
        <v>52</v>
      </c>
      <c r="K34" s="60" t="s">
        <v>56</v>
      </c>
      <c r="L34" s="61"/>
      <c r="M34" s="62"/>
      <c r="N34" s="62"/>
      <c r="O34" s="61"/>
    </row>
    <row r="35" customHeight="1" spans="1:15">
      <c r="A35" s="36"/>
      <c r="B35" s="37">
        <f t="shared" si="9"/>
        <v>0</v>
      </c>
      <c r="C35" s="38"/>
      <c r="D35" s="39"/>
      <c r="E35" s="40"/>
      <c r="F35" s="37">
        <f t="shared" si="10"/>
        <v>0</v>
      </c>
      <c r="G35" s="28"/>
      <c r="H35" s="25" t="s">
        <v>59</v>
      </c>
      <c r="I35" s="13">
        <v>10000</v>
      </c>
      <c r="J35" s="48" t="s">
        <v>52</v>
      </c>
      <c r="K35" s="60" t="s">
        <v>56</v>
      </c>
      <c r="L35" s="61"/>
      <c r="M35" s="62"/>
      <c r="N35" s="62"/>
      <c r="O35" s="61"/>
    </row>
    <row r="36" customHeight="1" spans="1:15">
      <c r="A36" s="36"/>
      <c r="B36" s="37">
        <f t="shared" si="9"/>
        <v>0</v>
      </c>
      <c r="C36" s="38"/>
      <c r="D36" s="39"/>
      <c r="E36" s="40"/>
      <c r="F36" s="37">
        <f t="shared" si="10"/>
        <v>0</v>
      </c>
      <c r="G36" s="28"/>
      <c r="H36" s="25"/>
      <c r="I36" s="13">
        <f>283.81+119.1+254.12+198.93+110.36+529.42</f>
        <v>1495.74</v>
      </c>
      <c r="J36" s="48" t="s">
        <v>51</v>
      </c>
      <c r="K36" s="60" t="s">
        <v>84</v>
      </c>
      <c r="L36" s="61"/>
      <c r="M36" s="62"/>
      <c r="N36" s="62"/>
      <c r="O36" s="61"/>
    </row>
    <row r="37" customHeight="1" spans="1:15">
      <c r="A37" s="36"/>
      <c r="B37" s="37">
        <f t="shared" si="9"/>
        <v>0</v>
      </c>
      <c r="C37" s="38"/>
      <c r="D37" s="39"/>
      <c r="E37" s="40"/>
      <c r="F37" s="37">
        <f t="shared" si="10"/>
        <v>0</v>
      </c>
      <c r="G37" s="28"/>
      <c r="H37" s="25"/>
      <c r="I37" s="13">
        <f>500+500+500</f>
        <v>1500</v>
      </c>
      <c r="J37" s="48" t="s">
        <v>51</v>
      </c>
      <c r="K37" s="60" t="s">
        <v>85</v>
      </c>
      <c r="L37" s="61"/>
      <c r="M37" s="62"/>
      <c r="N37" s="62"/>
      <c r="O37" s="61"/>
    </row>
    <row r="38" customHeight="1" spans="1:15">
      <c r="A38" s="36"/>
      <c r="B38" s="37">
        <f t="shared" si="9"/>
        <v>20850</v>
      </c>
      <c r="C38" s="38"/>
      <c r="D38" s="39"/>
      <c r="E38" s="40"/>
      <c r="F38" s="37">
        <f t="shared" si="10"/>
        <v>0</v>
      </c>
      <c r="G38" s="28">
        <v>20850</v>
      </c>
      <c r="H38" s="25"/>
      <c r="I38" s="13">
        <f>G38</f>
        <v>20850</v>
      </c>
      <c r="J38" s="48" t="s">
        <v>51</v>
      </c>
      <c r="K38" s="60" t="s">
        <v>86</v>
      </c>
      <c r="L38" s="61"/>
      <c r="M38" s="62"/>
      <c r="N38" s="62"/>
      <c r="O38" s="61"/>
    </row>
    <row r="39" customHeight="1" spans="1:15">
      <c r="A39" s="36"/>
      <c r="B39" s="37">
        <f t="shared" si="9"/>
        <v>57664.46</v>
      </c>
      <c r="C39" s="38"/>
      <c r="D39" s="39"/>
      <c r="E39" s="40"/>
      <c r="F39" s="37">
        <f t="shared" si="10"/>
        <v>0</v>
      </c>
      <c r="G39" s="28">
        <f>10642.82+4466.38+9529.6+4678.46+7347.2+3000+18000</f>
        <v>57664.46</v>
      </c>
      <c r="H39" s="25"/>
      <c r="I39" s="13">
        <f>G39</f>
        <v>57664.46</v>
      </c>
      <c r="J39" s="48" t="s">
        <v>51</v>
      </c>
      <c r="K39" s="60" t="s">
        <v>87</v>
      </c>
      <c r="L39" s="61"/>
      <c r="M39" s="62"/>
      <c r="N39" s="62"/>
      <c r="O39" s="61"/>
    </row>
    <row r="40" customHeight="1" spans="1:15">
      <c r="A40" s="31" t="s">
        <v>23</v>
      </c>
      <c r="B40" s="30">
        <f>SUM(B20:B39)</f>
        <v>2543251.91</v>
      </c>
      <c r="C40" s="31"/>
      <c r="D40" s="41"/>
      <c r="E40" s="41"/>
      <c r="F40" s="33">
        <f>SUM(F20:F39)</f>
        <v>0</v>
      </c>
      <c r="G40" s="43">
        <f>SUM(G20:G39)</f>
        <v>2543251.91</v>
      </c>
      <c r="H40" s="44"/>
      <c r="I40" s="31">
        <f>SUM(I20:I39)</f>
        <v>3879146.88</v>
      </c>
      <c r="J40" s="63"/>
      <c r="K40" s="41"/>
      <c r="L40" s="34"/>
      <c r="M40" s="48"/>
      <c r="N40" s="48"/>
      <c r="O40" s="34"/>
    </row>
    <row r="41" customHeight="1" spans="1:15">
      <c r="A41" s="45" t="s">
        <v>71</v>
      </c>
      <c r="B41" s="45">
        <f>B17-B40</f>
        <v>2509275.09</v>
      </c>
      <c r="C41" s="45"/>
      <c r="D41" s="46"/>
      <c r="E41" s="46"/>
      <c r="F41" s="47"/>
      <c r="G41" s="45">
        <f>G17-G40</f>
        <v>2660850.9</v>
      </c>
      <c r="H41" s="24" t="s">
        <v>72</v>
      </c>
      <c r="I41" s="31">
        <f>I17-I40</f>
        <v>1355150.5</v>
      </c>
      <c r="J41" s="54"/>
      <c r="K41" s="64"/>
      <c r="L41" s="54"/>
      <c r="M41" s="65"/>
      <c r="N41" s="65"/>
      <c r="O41" s="54"/>
    </row>
    <row r="42" customHeight="1" spans="1:15">
      <c r="A42" s="21" t="s">
        <v>73</v>
      </c>
      <c r="B42" s="20"/>
      <c r="C42" s="21"/>
      <c r="D42" s="19"/>
      <c r="E42" s="19"/>
      <c r="F42" s="20"/>
      <c r="G42" s="20"/>
      <c r="H42" s="19"/>
      <c r="I42" s="20"/>
      <c r="J42" s="58"/>
      <c r="K42" s="54"/>
      <c r="L42" s="54"/>
      <c r="M42" s="54"/>
      <c r="N42" s="54"/>
      <c r="O42" s="54"/>
    </row>
    <row r="43" customHeight="1" spans="1:15">
      <c r="A43" s="24" t="s">
        <v>74</v>
      </c>
      <c r="B43" s="23" t="s">
        <v>75</v>
      </c>
      <c r="C43" s="34"/>
      <c r="D43" s="24" t="s">
        <v>74</v>
      </c>
      <c r="E43" s="22" t="s">
        <v>15</v>
      </c>
      <c r="F43" s="23" t="s">
        <v>75</v>
      </c>
      <c r="G43" s="23"/>
      <c r="H43" s="19"/>
      <c r="I43" s="20"/>
      <c r="J43" s="58"/>
      <c r="K43" s="54"/>
      <c r="L43" s="54"/>
      <c r="M43" s="54"/>
      <c r="N43" s="54"/>
      <c r="O43" s="54"/>
    </row>
    <row r="44" customHeight="1" spans="1:15">
      <c r="A44" s="34" t="s">
        <v>76</v>
      </c>
      <c r="B44" s="18">
        <f>(B17-B40)*0.25</f>
        <v>627318.7725</v>
      </c>
      <c r="C44" s="34"/>
      <c r="D44" s="11" t="s">
        <v>77</v>
      </c>
      <c r="E44" s="48" t="s">
        <v>78</v>
      </c>
      <c r="F44" s="49">
        <f>F17-F40</f>
        <v>151575.81</v>
      </c>
      <c r="G44" s="49"/>
      <c r="H44" s="19"/>
      <c r="I44" s="20"/>
      <c r="J44" s="58"/>
      <c r="K44" s="54"/>
      <c r="L44" s="54"/>
      <c r="M44" s="54"/>
      <c r="N44" s="54"/>
      <c r="O44" s="54"/>
    </row>
    <row r="45" customHeight="1" spans="1:15">
      <c r="A45" s="34" t="s">
        <v>54</v>
      </c>
      <c r="B45" s="50"/>
      <c r="C45" s="34"/>
      <c r="D45" s="51" t="s">
        <v>79</v>
      </c>
      <c r="E45" s="14">
        <v>0.05</v>
      </c>
      <c r="F45" s="15">
        <f>F44*E45</f>
        <v>7578.7905</v>
      </c>
      <c r="G45" s="15"/>
      <c r="H45" s="19"/>
      <c r="I45" s="20"/>
      <c r="J45" s="58"/>
      <c r="K45" s="54"/>
      <c r="L45" s="54"/>
      <c r="M45" s="54"/>
      <c r="N45" s="54"/>
      <c r="O45" s="54"/>
    </row>
    <row r="46" customHeight="1" spans="1:15">
      <c r="A46" s="34" t="s">
        <v>80</v>
      </c>
      <c r="B46" s="50"/>
      <c r="C46" s="34"/>
      <c r="D46" s="51" t="s">
        <v>81</v>
      </c>
      <c r="E46" s="14">
        <v>0.03</v>
      </c>
      <c r="F46" s="15">
        <f>F44*E46</f>
        <v>4547.2743</v>
      </c>
      <c r="G46" s="15"/>
      <c r="H46" s="19"/>
      <c r="I46" s="20"/>
      <c r="J46" s="58"/>
      <c r="K46" s="54"/>
      <c r="L46" s="54"/>
      <c r="M46" s="54"/>
      <c r="N46" s="54"/>
      <c r="O46" s="54"/>
    </row>
    <row r="47" customHeight="1" spans="1:15">
      <c r="A47" s="34"/>
      <c r="B47" s="15"/>
      <c r="C47" s="34"/>
      <c r="D47" s="51" t="s">
        <v>82</v>
      </c>
      <c r="E47" s="14">
        <v>0.02</v>
      </c>
      <c r="F47" s="15">
        <f>F44*E47</f>
        <v>3031.5162</v>
      </c>
      <c r="G47" s="15"/>
      <c r="H47" s="19"/>
      <c r="I47" s="20"/>
      <c r="J47" s="58"/>
      <c r="K47" s="54"/>
      <c r="L47" s="54"/>
      <c r="M47" s="54"/>
      <c r="N47" s="54"/>
      <c r="O47" s="54"/>
    </row>
    <row r="48" customHeight="1" spans="1:15">
      <c r="A48" s="29" t="s">
        <v>83</v>
      </c>
      <c r="B48" s="52">
        <f>SUM(B44:B47)</f>
        <v>627318.7725</v>
      </c>
      <c r="C48" s="34"/>
      <c r="D48" s="29" t="s">
        <v>83</v>
      </c>
      <c r="E48" s="29"/>
      <c r="F48" s="42">
        <f>SUM(F44:F47)</f>
        <v>166733.391</v>
      </c>
      <c r="G48" s="42"/>
      <c r="H48" s="19"/>
      <c r="I48" s="20"/>
      <c r="J48" s="58"/>
      <c r="K48" s="54"/>
      <c r="L48" s="54"/>
      <c r="M48" s="54"/>
      <c r="N48" s="54"/>
      <c r="O48" s="54"/>
    </row>
    <row r="49" customHeight="1" spans="1:15">
      <c r="A49" s="21"/>
      <c r="B49" s="20"/>
      <c r="C49" s="21"/>
      <c r="D49" s="13" t="s">
        <v>54</v>
      </c>
      <c r="E49" s="53">
        <v>0.0003</v>
      </c>
      <c r="F49" s="15">
        <f>G17*E49</f>
        <v>1561.230843</v>
      </c>
      <c r="G49" s="15"/>
      <c r="H49" s="19"/>
      <c r="I49" s="20"/>
      <c r="J49" s="58"/>
      <c r="K49" s="54"/>
      <c r="L49" s="54"/>
      <c r="M49" s="54"/>
      <c r="N49" s="54"/>
      <c r="O49" s="54"/>
    </row>
    <row r="50" customHeight="1" spans="1:15">
      <c r="A50" s="21"/>
      <c r="B50" s="20"/>
      <c r="C50" s="21"/>
      <c r="D50" s="13" t="s">
        <v>80</v>
      </c>
      <c r="E50" s="53">
        <v>0.0006</v>
      </c>
      <c r="F50" s="15">
        <f>B17*E50</f>
        <v>3031.5162</v>
      </c>
      <c r="G50" s="15"/>
      <c r="H50" s="19"/>
      <c r="I50" s="20"/>
      <c r="J50" s="58"/>
      <c r="K50" s="54"/>
      <c r="L50" s="54"/>
      <c r="M50" s="54"/>
      <c r="N50" s="54"/>
      <c r="O50" s="54"/>
    </row>
    <row r="51" customHeight="1" spans="1:15">
      <c r="A51" s="21"/>
      <c r="B51" s="20"/>
      <c r="C51" s="21"/>
      <c r="D51" s="31" t="s">
        <v>23</v>
      </c>
      <c r="E51" s="31"/>
      <c r="F51" s="32">
        <f>F48+F49+F50</f>
        <v>171326.138043</v>
      </c>
      <c r="G51" s="32"/>
      <c r="H51" s="19"/>
      <c r="I51" s="20"/>
      <c r="J51" s="58"/>
      <c r="K51" s="54"/>
      <c r="L51" s="54"/>
      <c r="M51" s="54"/>
      <c r="N51" s="54"/>
      <c r="O51" s="54"/>
    </row>
    <row r="52" customHeight="1" spans="1:15">
      <c r="A52" s="21"/>
      <c r="B52" s="20"/>
      <c r="C52" s="21"/>
      <c r="D52" s="19"/>
      <c r="E52" s="19"/>
      <c r="F52" s="20"/>
      <c r="G52" s="20"/>
      <c r="H52" s="19"/>
      <c r="I52" s="20"/>
      <c r="J52" s="58"/>
      <c r="K52" s="54"/>
      <c r="L52" s="54"/>
      <c r="M52" s="54"/>
      <c r="N52" s="54"/>
      <c r="O52" s="54"/>
    </row>
    <row r="53" customHeight="1" spans="1:15">
      <c r="A53" s="21"/>
      <c r="B53" s="20"/>
      <c r="C53" s="21"/>
      <c r="D53" s="19"/>
      <c r="E53" s="19"/>
      <c r="F53" s="20"/>
      <c r="G53" s="20"/>
      <c r="H53" s="19"/>
      <c r="I53" s="20"/>
      <c r="J53" s="58"/>
      <c r="K53" s="54"/>
      <c r="L53" s="54"/>
      <c r="M53" s="54"/>
      <c r="N53" s="54"/>
      <c r="O53" s="54"/>
    </row>
    <row r="54" customHeight="1" spans="1:15">
      <c r="A54" s="21"/>
      <c r="B54" s="20"/>
      <c r="C54" s="21"/>
      <c r="D54" s="19"/>
      <c r="E54" s="19"/>
      <c r="F54" s="20"/>
      <c r="G54" s="20"/>
      <c r="H54" s="19"/>
      <c r="I54" s="20"/>
      <c r="J54" s="58"/>
      <c r="K54" s="54"/>
      <c r="L54" s="54"/>
      <c r="M54" s="54"/>
      <c r="N54" s="54"/>
      <c r="O54" s="5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tabSelected="1" topLeftCell="A58" workbookViewId="0">
      <selection activeCell="K75" sqref="K75"/>
    </sheetView>
  </sheetViews>
  <sheetFormatPr defaultColWidth="9" defaultRowHeight="13.5"/>
  <cols>
    <col min="2" max="2" width="13.875" customWidth="1"/>
    <col min="4" max="4" width="12.5" customWidth="1"/>
    <col min="7" max="7" width="16.125" customWidth="1"/>
    <col min="9" max="9" width="15.375" customWidth="1"/>
    <col min="11" max="11" width="25.625" customWidth="1"/>
    <col min="15" max="15" width="10.375" customWidth="1"/>
  </cols>
  <sheetData>
    <row r="1" ht="18" customHeight="1" spans="1:12">
      <c r="A1" s="9" t="s">
        <v>88</v>
      </c>
      <c r="B1" s="9"/>
      <c r="C1" s="9"/>
      <c r="D1" s="9"/>
      <c r="E1" s="9"/>
      <c r="F1" s="9"/>
      <c r="G1" s="9"/>
      <c r="H1" s="9"/>
      <c r="I1" s="9"/>
      <c r="J1" s="9"/>
      <c r="K1" s="1" t="s">
        <v>89</v>
      </c>
      <c r="L1" s="1"/>
    </row>
    <row r="2" ht="18" customHeight="1" spans="1:12">
      <c r="A2" s="11" t="s">
        <v>1</v>
      </c>
      <c r="B2" s="12">
        <v>42443</v>
      </c>
      <c r="C2" s="13" t="s">
        <v>2</v>
      </c>
      <c r="D2" s="13">
        <v>13000000</v>
      </c>
      <c r="E2" s="14" t="s">
        <v>3</v>
      </c>
      <c r="F2" s="13" t="s">
        <v>42</v>
      </c>
      <c r="G2" s="14" t="s">
        <v>4</v>
      </c>
      <c r="H2" s="17" t="s">
        <v>90</v>
      </c>
      <c r="I2" s="71"/>
      <c r="J2" s="56"/>
      <c r="K2" s="1"/>
      <c r="L2" s="1"/>
    </row>
    <row r="3" ht="18" customHeight="1" spans="1:12">
      <c r="A3" s="11" t="s">
        <v>6</v>
      </c>
      <c r="B3" s="66"/>
      <c r="C3" s="13" t="s">
        <v>7</v>
      </c>
      <c r="D3" s="13">
        <v>29481032</v>
      </c>
      <c r="H3" s="1"/>
      <c r="I3" s="1"/>
      <c r="J3" s="1"/>
      <c r="K3" s="1"/>
      <c r="L3" s="1"/>
    </row>
    <row r="4" ht="18" customHeight="1" spans="1:12">
      <c r="A4" s="21" t="s">
        <v>8</v>
      </c>
      <c r="H4" s="1"/>
      <c r="I4" s="1"/>
      <c r="J4" s="1"/>
      <c r="K4" s="1"/>
      <c r="L4" s="1"/>
    </row>
    <row r="5" ht="18" customHeight="1" spans="1:10">
      <c r="A5" s="22" t="s">
        <v>9</v>
      </c>
      <c r="B5" s="22" t="s">
        <v>10</v>
      </c>
      <c r="C5" s="22" t="s">
        <v>11</v>
      </c>
      <c r="D5" s="22"/>
      <c r="E5" s="22" t="s">
        <v>12</v>
      </c>
      <c r="F5" s="22"/>
      <c r="G5" s="22" t="s">
        <v>13</v>
      </c>
      <c r="H5" s="24" t="s">
        <v>14</v>
      </c>
      <c r="I5" s="24"/>
      <c r="J5" s="24"/>
    </row>
    <row r="6" ht="18" customHeight="1" spans="1:10">
      <c r="A6" s="22"/>
      <c r="B6" s="22"/>
      <c r="C6" s="22" t="s">
        <v>15</v>
      </c>
      <c r="D6" s="22" t="s">
        <v>16</v>
      </c>
      <c r="E6" s="22" t="s">
        <v>15</v>
      </c>
      <c r="F6" s="22" t="s">
        <v>16</v>
      </c>
      <c r="G6" s="22"/>
      <c r="H6" s="24" t="s">
        <v>17</v>
      </c>
      <c r="I6" s="24" t="s">
        <v>18</v>
      </c>
      <c r="J6" s="24" t="s">
        <v>19</v>
      </c>
    </row>
    <row r="7" ht="18" customHeight="1" spans="1:10">
      <c r="A7" s="25">
        <v>42683</v>
      </c>
      <c r="B7" s="13">
        <v>776699.029126214</v>
      </c>
      <c r="C7" s="26">
        <v>0.03</v>
      </c>
      <c r="D7" s="68">
        <v>23300.9708737864</v>
      </c>
      <c r="E7" s="26"/>
      <c r="F7" s="13">
        <v>0</v>
      </c>
      <c r="G7" s="28">
        <v>800000</v>
      </c>
      <c r="H7" s="25">
        <v>42625</v>
      </c>
      <c r="I7" s="84">
        <v>800000</v>
      </c>
      <c r="J7" s="48" t="s">
        <v>20</v>
      </c>
    </row>
    <row r="8" ht="18" customHeight="1" spans="1:10">
      <c r="A8" s="25">
        <v>42695</v>
      </c>
      <c r="B8" s="13">
        <v>291262.13592233</v>
      </c>
      <c r="C8" s="26">
        <v>0.03</v>
      </c>
      <c r="D8" s="68">
        <v>8737.8640776699</v>
      </c>
      <c r="E8" s="26"/>
      <c r="F8" s="13">
        <v>0</v>
      </c>
      <c r="G8" s="28">
        <v>300000</v>
      </c>
      <c r="H8" s="25">
        <v>42690</v>
      </c>
      <c r="I8" s="84">
        <v>300000</v>
      </c>
      <c r="J8" s="48" t="s">
        <v>20</v>
      </c>
    </row>
    <row r="9" ht="18" customHeight="1" spans="1:10">
      <c r="A9" s="25">
        <v>42731</v>
      </c>
      <c r="B9" s="13">
        <v>1941747.57281553</v>
      </c>
      <c r="C9" s="26">
        <v>0.03</v>
      </c>
      <c r="D9" s="68">
        <v>58252.427184466</v>
      </c>
      <c r="E9" s="26"/>
      <c r="F9" s="13">
        <v>0</v>
      </c>
      <c r="G9" s="28">
        <v>2000000</v>
      </c>
      <c r="H9" s="25">
        <v>42724</v>
      </c>
      <c r="I9" s="84">
        <v>500000</v>
      </c>
      <c r="J9" s="48" t="s">
        <v>20</v>
      </c>
    </row>
    <row r="10" ht="18" customHeight="1" spans="1:10">
      <c r="A10" s="25">
        <v>42809</v>
      </c>
      <c r="B10" s="13">
        <v>1844660.19417476</v>
      </c>
      <c r="C10" s="26">
        <v>0.03</v>
      </c>
      <c r="D10" s="68">
        <v>55339.8058252427</v>
      </c>
      <c r="E10" s="26"/>
      <c r="F10" s="13">
        <v>0</v>
      </c>
      <c r="G10" s="28">
        <v>1900000</v>
      </c>
      <c r="H10" s="25">
        <v>42758</v>
      </c>
      <c r="I10" s="84">
        <v>1740000</v>
      </c>
      <c r="J10" s="48" t="s">
        <v>20</v>
      </c>
    </row>
    <row r="11" ht="18" customHeight="1" spans="1:10">
      <c r="A11" s="25">
        <v>42906</v>
      </c>
      <c r="B11" s="13">
        <v>2135922.33009709</v>
      </c>
      <c r="C11" s="26">
        <v>0.03</v>
      </c>
      <c r="D11" s="68">
        <v>64077.6699029126</v>
      </c>
      <c r="E11" s="26"/>
      <c r="F11" s="13">
        <v>0</v>
      </c>
      <c r="G11" s="28">
        <v>2200000</v>
      </c>
      <c r="H11" s="25">
        <v>42835</v>
      </c>
      <c r="I11" s="84">
        <v>370000</v>
      </c>
      <c r="J11" s="48" t="s">
        <v>20</v>
      </c>
    </row>
    <row r="12" ht="18" customHeight="1" spans="1:10">
      <c r="A12" s="25">
        <v>42971</v>
      </c>
      <c r="B12" s="13">
        <v>1650485.4368932</v>
      </c>
      <c r="C12" s="26">
        <v>0.03</v>
      </c>
      <c r="D12" s="68">
        <v>49514.5631067961</v>
      </c>
      <c r="E12" s="26"/>
      <c r="F12" s="13">
        <v>0</v>
      </c>
      <c r="G12" s="28">
        <v>1700000</v>
      </c>
      <c r="H12" s="25">
        <v>42867</v>
      </c>
      <c r="I12" s="84">
        <v>1090000</v>
      </c>
      <c r="J12" s="48" t="s">
        <v>20</v>
      </c>
    </row>
    <row r="13" ht="18" customHeight="1" spans="1:10">
      <c r="A13" s="25">
        <v>43033</v>
      </c>
      <c r="B13" s="13">
        <v>1941747.57281553</v>
      </c>
      <c r="C13" s="26">
        <v>0.03</v>
      </c>
      <c r="D13" s="68">
        <v>58252.427184466</v>
      </c>
      <c r="E13" s="26"/>
      <c r="F13" s="13">
        <v>0</v>
      </c>
      <c r="G13" s="28">
        <v>2000000</v>
      </c>
      <c r="H13" s="25">
        <v>42919</v>
      </c>
      <c r="I13" s="84">
        <v>666000</v>
      </c>
      <c r="J13" s="48" t="s">
        <v>20</v>
      </c>
    </row>
    <row r="14" ht="18" customHeight="1" spans="1:10">
      <c r="A14" s="25">
        <v>43112</v>
      </c>
      <c r="B14" s="13">
        <v>3883495.14563107</v>
      </c>
      <c r="C14" s="26">
        <v>0.03</v>
      </c>
      <c r="D14" s="68">
        <v>116504.854368932</v>
      </c>
      <c r="E14" s="26"/>
      <c r="F14" s="13">
        <v>0</v>
      </c>
      <c r="G14" s="28">
        <v>4000000</v>
      </c>
      <c r="H14" s="25">
        <v>42936</v>
      </c>
      <c r="I14" s="84">
        <v>1104000</v>
      </c>
      <c r="J14" s="48" t="s">
        <v>20</v>
      </c>
    </row>
    <row r="15" ht="18" customHeight="1" spans="1:10">
      <c r="A15" s="25">
        <v>43222</v>
      </c>
      <c r="B15" s="13">
        <v>3883495.14563107</v>
      </c>
      <c r="C15" s="26">
        <v>0.03</v>
      </c>
      <c r="D15" s="68">
        <v>116504.854368932</v>
      </c>
      <c r="E15" s="26"/>
      <c r="F15" s="13">
        <v>0</v>
      </c>
      <c r="G15" s="28">
        <v>4000000</v>
      </c>
      <c r="H15" s="25">
        <v>42990</v>
      </c>
      <c r="I15" s="84">
        <v>500000</v>
      </c>
      <c r="J15" s="48" t="s">
        <v>20</v>
      </c>
    </row>
    <row r="16" ht="18" customHeight="1" spans="1:10">
      <c r="A16" s="25">
        <v>43293</v>
      </c>
      <c r="B16" s="13">
        <v>1941747.57281553</v>
      </c>
      <c r="C16" s="26">
        <v>0.03</v>
      </c>
      <c r="D16" s="68">
        <v>58252.427184466</v>
      </c>
      <c r="E16" s="26"/>
      <c r="F16" s="13">
        <v>0</v>
      </c>
      <c r="G16" s="28">
        <v>2000000</v>
      </c>
      <c r="H16" s="25">
        <v>43007</v>
      </c>
      <c r="I16" s="84">
        <v>570000</v>
      </c>
      <c r="J16" s="48" t="s">
        <v>20</v>
      </c>
    </row>
    <row r="17" ht="18" customHeight="1" spans="1:10">
      <c r="A17" s="25">
        <v>43482</v>
      </c>
      <c r="B17" s="13">
        <v>4854368.93203884</v>
      </c>
      <c r="C17" s="26">
        <v>0.03</v>
      </c>
      <c r="D17" s="68">
        <v>145631.067961165</v>
      </c>
      <c r="E17" s="26"/>
      <c r="F17" s="13">
        <v>0</v>
      </c>
      <c r="G17" s="28">
        <v>5000000</v>
      </c>
      <c r="H17" s="25">
        <v>43040</v>
      </c>
      <c r="I17" s="84">
        <v>250000</v>
      </c>
      <c r="J17" s="48" t="s">
        <v>20</v>
      </c>
    </row>
    <row r="18" ht="18" customHeight="1" spans="1:10">
      <c r="A18" s="25">
        <v>43735</v>
      </c>
      <c r="B18" s="13">
        <v>3476730.72815534</v>
      </c>
      <c r="C18" s="26">
        <v>0.03</v>
      </c>
      <c r="D18" s="68">
        <v>104301.92184466</v>
      </c>
      <c r="E18" s="26"/>
      <c r="F18" s="13">
        <v>0</v>
      </c>
      <c r="G18" s="28">
        <v>3581032.65</v>
      </c>
      <c r="H18" s="25">
        <v>43054</v>
      </c>
      <c r="I18" s="84">
        <v>1500000</v>
      </c>
      <c r="J18" s="48" t="s">
        <v>20</v>
      </c>
    </row>
    <row r="19" ht="18" customHeight="1" spans="1:10">
      <c r="A19" s="25"/>
      <c r="B19" s="13">
        <v>0</v>
      </c>
      <c r="C19" s="26">
        <v>0.03</v>
      </c>
      <c r="D19" s="68">
        <v>0</v>
      </c>
      <c r="E19" s="26"/>
      <c r="F19" s="13">
        <v>0</v>
      </c>
      <c r="G19" s="28"/>
      <c r="H19" s="25">
        <v>43084</v>
      </c>
      <c r="I19" s="84">
        <v>1000000</v>
      </c>
      <c r="J19" s="48" t="s">
        <v>20</v>
      </c>
    </row>
    <row r="20" ht="18" customHeight="1" spans="1:10">
      <c r="A20" s="25"/>
      <c r="B20" s="13">
        <v>0</v>
      </c>
      <c r="C20" s="26">
        <v>0.03</v>
      </c>
      <c r="D20" s="68">
        <v>0</v>
      </c>
      <c r="E20" s="26"/>
      <c r="F20" s="13">
        <v>0</v>
      </c>
      <c r="G20" s="28"/>
      <c r="H20" s="25">
        <v>43118</v>
      </c>
      <c r="I20" s="84">
        <v>1800000</v>
      </c>
      <c r="J20" s="48" t="s">
        <v>20</v>
      </c>
    </row>
    <row r="21" ht="18" customHeight="1" spans="1:10">
      <c r="A21" s="25"/>
      <c r="B21" s="13">
        <v>0</v>
      </c>
      <c r="C21" s="26">
        <v>0.03</v>
      </c>
      <c r="D21" s="68">
        <v>0</v>
      </c>
      <c r="E21" s="26"/>
      <c r="F21" s="13">
        <v>0</v>
      </c>
      <c r="G21" s="28"/>
      <c r="H21" s="25">
        <v>43143</v>
      </c>
      <c r="I21" s="84">
        <v>2000000</v>
      </c>
      <c r="J21" s="48" t="s">
        <v>20</v>
      </c>
    </row>
    <row r="22" ht="18" customHeight="1" spans="1:10">
      <c r="A22" s="25"/>
      <c r="B22" s="13">
        <v>0</v>
      </c>
      <c r="C22" s="26">
        <v>0.03</v>
      </c>
      <c r="D22" s="68">
        <v>0</v>
      </c>
      <c r="E22" s="26"/>
      <c r="F22" s="13">
        <v>0</v>
      </c>
      <c r="G22" s="28"/>
      <c r="H22" s="25">
        <v>43218</v>
      </c>
      <c r="I22" s="84">
        <v>300000</v>
      </c>
      <c r="J22" s="48" t="s">
        <v>20</v>
      </c>
    </row>
    <row r="23" ht="18" customHeight="1" spans="1:10">
      <c r="A23" s="25"/>
      <c r="B23" s="13">
        <v>0</v>
      </c>
      <c r="C23" s="26">
        <v>0.03</v>
      </c>
      <c r="D23" s="68">
        <v>0</v>
      </c>
      <c r="E23" s="26"/>
      <c r="F23" s="13">
        <v>0</v>
      </c>
      <c r="G23" s="28"/>
      <c r="H23" s="25">
        <v>43231</v>
      </c>
      <c r="I23" s="84">
        <v>400000</v>
      </c>
      <c r="J23" s="48" t="s">
        <v>20</v>
      </c>
    </row>
    <row r="24" ht="18" customHeight="1" spans="1:10">
      <c r="A24" s="25"/>
      <c r="B24" s="13">
        <v>0</v>
      </c>
      <c r="C24" s="26">
        <v>0.03</v>
      </c>
      <c r="D24" s="68">
        <v>0</v>
      </c>
      <c r="E24" s="26"/>
      <c r="F24" s="13">
        <v>0</v>
      </c>
      <c r="G24" s="28"/>
      <c r="H24" s="25">
        <v>43237</v>
      </c>
      <c r="I24" s="84">
        <v>850000</v>
      </c>
      <c r="J24" s="48" t="s">
        <v>20</v>
      </c>
    </row>
    <row r="25" ht="18" customHeight="1" spans="1:10">
      <c r="A25" s="25"/>
      <c r="B25" s="13">
        <v>0</v>
      </c>
      <c r="C25" s="26">
        <v>0.03</v>
      </c>
      <c r="D25" s="68">
        <v>0</v>
      </c>
      <c r="E25" s="26"/>
      <c r="F25" s="13">
        <v>0</v>
      </c>
      <c r="G25" s="28"/>
      <c r="H25" s="25">
        <v>43255</v>
      </c>
      <c r="I25" s="84">
        <v>800000</v>
      </c>
      <c r="J25" s="48" t="s">
        <v>20</v>
      </c>
    </row>
    <row r="26" ht="18" customHeight="1" spans="1:10">
      <c r="A26" s="25"/>
      <c r="B26" s="13">
        <v>0</v>
      </c>
      <c r="C26" s="26">
        <v>0.03</v>
      </c>
      <c r="D26" s="68">
        <v>0</v>
      </c>
      <c r="E26" s="26"/>
      <c r="F26" s="13">
        <v>0</v>
      </c>
      <c r="G26" s="28"/>
      <c r="H26" s="25">
        <v>43285</v>
      </c>
      <c r="I26" s="84">
        <v>1500000</v>
      </c>
      <c r="J26" s="48" t="s">
        <v>20</v>
      </c>
    </row>
    <row r="27" ht="18" customHeight="1" spans="1:10">
      <c r="A27" s="25"/>
      <c r="B27" s="13">
        <v>0</v>
      </c>
      <c r="C27" s="26">
        <v>0.03</v>
      </c>
      <c r="D27" s="68">
        <v>0</v>
      </c>
      <c r="E27" s="26"/>
      <c r="F27" s="13">
        <v>0</v>
      </c>
      <c r="G27" s="28"/>
      <c r="H27" s="25">
        <v>43315</v>
      </c>
      <c r="I27" s="84">
        <v>820000</v>
      </c>
      <c r="J27" s="48" t="s">
        <v>20</v>
      </c>
    </row>
    <row r="28" ht="18" customHeight="1" spans="1:10">
      <c r="A28" s="25"/>
      <c r="B28" s="13">
        <v>0</v>
      </c>
      <c r="C28" s="26">
        <v>0.03</v>
      </c>
      <c r="D28" s="68">
        <v>0</v>
      </c>
      <c r="E28" s="26"/>
      <c r="F28" s="13">
        <v>0</v>
      </c>
      <c r="G28" s="28"/>
      <c r="H28" s="25">
        <v>43362</v>
      </c>
      <c r="I28" s="84">
        <v>300000</v>
      </c>
      <c r="J28" s="48" t="s">
        <v>20</v>
      </c>
    </row>
    <row r="29" ht="18" customHeight="1" spans="1:10">
      <c r="A29" s="25"/>
      <c r="B29" s="13">
        <v>0</v>
      </c>
      <c r="C29" s="26">
        <v>0.03</v>
      </c>
      <c r="D29" s="68">
        <v>0</v>
      </c>
      <c r="E29" s="26"/>
      <c r="F29" s="13">
        <v>0</v>
      </c>
      <c r="G29" s="28"/>
      <c r="H29" s="25">
        <v>43420</v>
      </c>
      <c r="I29" s="84">
        <v>200000</v>
      </c>
      <c r="J29" s="48" t="s">
        <v>20</v>
      </c>
    </row>
    <row r="30" ht="18" customHeight="1" spans="1:10">
      <c r="A30" s="25"/>
      <c r="B30" s="13">
        <v>0</v>
      </c>
      <c r="C30" s="26">
        <v>0.03</v>
      </c>
      <c r="D30" s="68">
        <v>0</v>
      </c>
      <c r="E30" s="26"/>
      <c r="F30" s="13">
        <v>0</v>
      </c>
      <c r="G30" s="28"/>
      <c r="H30" s="25">
        <v>43469</v>
      </c>
      <c r="I30" s="84">
        <v>200000</v>
      </c>
      <c r="J30" s="48" t="s">
        <v>20</v>
      </c>
    </row>
    <row r="31" ht="18" customHeight="1" spans="1:10">
      <c r="A31" s="25"/>
      <c r="B31" s="13">
        <v>0</v>
      </c>
      <c r="C31" s="26"/>
      <c r="D31" s="68">
        <v>0</v>
      </c>
      <c r="E31" s="26"/>
      <c r="F31" s="13">
        <v>0</v>
      </c>
      <c r="G31" s="28"/>
      <c r="H31" s="25">
        <v>43497</v>
      </c>
      <c r="I31" s="84">
        <v>3000000</v>
      </c>
      <c r="J31" s="48" t="s">
        <v>20</v>
      </c>
    </row>
    <row r="32" ht="18" customHeight="1" spans="1:10">
      <c r="A32" s="25"/>
      <c r="B32" s="13">
        <v>0</v>
      </c>
      <c r="C32" s="26"/>
      <c r="D32" s="68">
        <v>0</v>
      </c>
      <c r="E32" s="26"/>
      <c r="F32" s="13">
        <v>0</v>
      </c>
      <c r="G32" s="28"/>
      <c r="H32" s="25">
        <v>43594</v>
      </c>
      <c r="I32" s="84">
        <v>1500000</v>
      </c>
      <c r="J32" s="48" t="s">
        <v>91</v>
      </c>
    </row>
    <row r="33" ht="18" customHeight="1" spans="1:10">
      <c r="A33" s="25"/>
      <c r="B33" s="13">
        <v>0</v>
      </c>
      <c r="C33" s="26"/>
      <c r="D33" s="68">
        <v>0</v>
      </c>
      <c r="E33" s="26"/>
      <c r="F33" s="13">
        <v>0</v>
      </c>
      <c r="G33" s="28"/>
      <c r="H33" s="25"/>
      <c r="I33" s="84"/>
      <c r="J33" s="48"/>
    </row>
    <row r="34" ht="18" customHeight="1" spans="1:10">
      <c r="A34" s="25"/>
      <c r="B34" s="13">
        <v>0</v>
      </c>
      <c r="C34" s="26"/>
      <c r="D34" s="68">
        <v>0</v>
      </c>
      <c r="E34" s="26"/>
      <c r="F34" s="13">
        <v>0</v>
      </c>
      <c r="G34" s="28"/>
      <c r="H34" s="25"/>
      <c r="I34" s="84"/>
      <c r="J34" s="48"/>
    </row>
    <row r="35" ht="18" customHeight="1" spans="1:10">
      <c r="A35" s="25"/>
      <c r="B35" s="13">
        <v>0</v>
      </c>
      <c r="C35" s="26"/>
      <c r="D35" s="68">
        <v>0</v>
      </c>
      <c r="E35" s="26"/>
      <c r="F35" s="13">
        <v>0</v>
      </c>
      <c r="G35" s="28"/>
      <c r="H35" s="25"/>
      <c r="I35" s="84"/>
      <c r="J35" s="48"/>
    </row>
    <row r="36" ht="18" customHeight="1" spans="1:10">
      <c r="A36" s="25"/>
      <c r="B36" s="13">
        <v>0</v>
      </c>
      <c r="C36" s="26"/>
      <c r="D36" s="68">
        <v>0</v>
      </c>
      <c r="E36" s="26"/>
      <c r="F36" s="13">
        <v>0</v>
      </c>
      <c r="G36" s="28"/>
      <c r="H36" s="25"/>
      <c r="I36" s="84"/>
      <c r="J36" s="48"/>
    </row>
    <row r="37" ht="18" customHeight="1" spans="1:10">
      <c r="A37" s="25"/>
      <c r="B37" s="13">
        <v>0</v>
      </c>
      <c r="C37" s="26"/>
      <c r="D37" s="68">
        <v>0</v>
      </c>
      <c r="E37" s="26"/>
      <c r="F37" s="13">
        <v>0</v>
      </c>
      <c r="G37" s="28"/>
      <c r="H37" s="25"/>
      <c r="I37" s="84"/>
      <c r="J37" s="48"/>
    </row>
    <row r="38" ht="18" customHeight="1" spans="1:10">
      <c r="A38" s="29" t="s">
        <v>23</v>
      </c>
      <c r="B38" s="30">
        <f>SUM(B7:B37)</f>
        <v>28622361.7961165</v>
      </c>
      <c r="C38" s="31"/>
      <c r="D38" s="31">
        <f>SUM(D7:D37)</f>
        <v>858670.853883495</v>
      </c>
      <c r="E38" s="31"/>
      <c r="F38" s="33">
        <f>SUM(F7:F37)</f>
        <v>0</v>
      </c>
      <c r="G38" s="31">
        <f>SUM(G7:G37)</f>
        <v>29481032.65</v>
      </c>
      <c r="H38" s="34"/>
      <c r="I38" s="31">
        <f>SUM(I7:I37)</f>
        <v>24060000</v>
      </c>
      <c r="J38" s="34"/>
    </row>
    <row r="39" ht="18" customHeight="1" spans="1:12">
      <c r="A39" s="21" t="s">
        <v>24</v>
      </c>
      <c r="B39" s="54"/>
      <c r="I39" s="72">
        <f>I38-24722713.71</f>
        <v>-662713.710000001</v>
      </c>
      <c r="J39" s="19"/>
      <c r="K39" s="19"/>
      <c r="L39" s="58"/>
    </row>
    <row r="40" ht="18" customHeight="1" spans="1:15">
      <c r="A40" s="35" t="s">
        <v>92</v>
      </c>
      <c r="B40" s="22" t="s">
        <v>26</v>
      </c>
      <c r="C40" s="22" t="s">
        <v>27</v>
      </c>
      <c r="D40" s="22" t="s">
        <v>28</v>
      </c>
      <c r="E40" s="22" t="s">
        <v>15</v>
      </c>
      <c r="F40" s="22" t="s">
        <v>29</v>
      </c>
      <c r="G40" s="22" t="s">
        <v>13</v>
      </c>
      <c r="H40" s="22" t="s">
        <v>30</v>
      </c>
      <c r="I40" s="22" t="s">
        <v>31</v>
      </c>
      <c r="J40" s="22" t="s">
        <v>19</v>
      </c>
      <c r="K40" s="59" t="s">
        <v>32</v>
      </c>
      <c r="L40" s="24" t="s">
        <v>33</v>
      </c>
      <c r="M40" s="24" t="s">
        <v>34</v>
      </c>
      <c r="N40" s="24" t="s">
        <v>35</v>
      </c>
      <c r="O40" s="24" t="s">
        <v>36</v>
      </c>
    </row>
    <row r="41" ht="18" customHeight="1" spans="1:16">
      <c r="A41" s="35">
        <v>42716</v>
      </c>
      <c r="B41" s="22">
        <f>1289687.3-4822.53-1808.46-12057+8657150</f>
        <v>9928149.31</v>
      </c>
      <c r="C41" s="22"/>
      <c r="D41" s="22"/>
      <c r="E41" s="22"/>
      <c r="F41" s="22"/>
      <c r="G41" s="22">
        <v>9928149</v>
      </c>
      <c r="H41" s="22"/>
      <c r="I41" s="22">
        <v>6470450</v>
      </c>
      <c r="J41" s="22"/>
      <c r="K41" s="59" t="s">
        <v>42</v>
      </c>
      <c r="L41" s="24"/>
      <c r="M41" s="24"/>
      <c r="N41" s="24"/>
      <c r="O41" s="24"/>
      <c r="P41" s="85" t="s">
        <v>93</v>
      </c>
    </row>
    <row r="42" ht="18" customHeight="1" spans="1:16">
      <c r="A42" s="35"/>
      <c r="B42" s="22"/>
      <c r="C42" s="22"/>
      <c r="D42" s="22"/>
      <c r="E42" s="22"/>
      <c r="F42" s="22"/>
      <c r="G42" s="22"/>
      <c r="H42" s="22"/>
      <c r="I42" s="22">
        <v>3762200</v>
      </c>
      <c r="J42" s="22"/>
      <c r="K42" s="59" t="s">
        <v>42</v>
      </c>
      <c r="L42" s="24"/>
      <c r="M42" s="24"/>
      <c r="N42" s="24"/>
      <c r="O42" s="24"/>
      <c r="P42" t="s">
        <v>94</v>
      </c>
    </row>
    <row r="43" ht="18" customHeight="1" spans="1:16">
      <c r="A43" s="12" t="s">
        <v>95</v>
      </c>
      <c r="B43" s="37">
        <f>ROUND(G43/(1+E43),2)</f>
        <v>2000000</v>
      </c>
      <c r="C43" s="38"/>
      <c r="D43" s="39"/>
      <c r="E43" s="69"/>
      <c r="F43" s="37">
        <v>0</v>
      </c>
      <c r="G43" s="70">
        <v>2000000</v>
      </c>
      <c r="H43" s="25">
        <v>43144</v>
      </c>
      <c r="I43" s="31">
        <v>1180970.58</v>
      </c>
      <c r="J43" s="48" t="s">
        <v>20</v>
      </c>
      <c r="K43" s="74" t="s">
        <v>38</v>
      </c>
      <c r="L43" s="79"/>
      <c r="M43" s="62"/>
      <c r="N43" s="62"/>
      <c r="O43" s="61" t="s">
        <v>40</v>
      </c>
      <c r="P43" s="78">
        <v>17</v>
      </c>
    </row>
    <row r="44" ht="18" customHeight="1" spans="1:16">
      <c r="A44" s="12"/>
      <c r="B44" s="37">
        <f t="shared" ref="B44:B71" si="0">ROUND(G44/(1+E44),2)</f>
        <v>0</v>
      </c>
      <c r="C44" s="38"/>
      <c r="D44" s="39"/>
      <c r="E44" s="69"/>
      <c r="F44" s="37"/>
      <c r="G44" s="70"/>
      <c r="H44" s="25">
        <v>43218</v>
      </c>
      <c r="I44" s="31">
        <v>290500</v>
      </c>
      <c r="J44" s="48" t="s">
        <v>20</v>
      </c>
      <c r="K44" s="74" t="s">
        <v>38</v>
      </c>
      <c r="L44" s="79"/>
      <c r="M44" s="62"/>
      <c r="N44" s="62"/>
      <c r="O44" s="61" t="s">
        <v>40</v>
      </c>
      <c r="P44" s="78">
        <v>18</v>
      </c>
    </row>
    <row r="45" ht="18" customHeight="1" spans="1:16">
      <c r="A45" s="12"/>
      <c r="B45" s="37">
        <f t="shared" si="0"/>
        <v>0</v>
      </c>
      <c r="C45" s="38"/>
      <c r="D45" s="39"/>
      <c r="E45" s="69"/>
      <c r="F45" s="37"/>
      <c r="G45" s="70"/>
      <c r="H45" s="25">
        <v>43235</v>
      </c>
      <c r="I45" s="31">
        <v>394000</v>
      </c>
      <c r="J45" s="48" t="s">
        <v>20</v>
      </c>
      <c r="K45" s="74" t="s">
        <v>38</v>
      </c>
      <c r="L45" s="79"/>
      <c r="M45" s="62"/>
      <c r="N45" s="62"/>
      <c r="O45" s="61" t="s">
        <v>40</v>
      </c>
      <c r="P45" s="78">
        <v>19</v>
      </c>
    </row>
    <row r="46" ht="18" customHeight="1" spans="1:16">
      <c r="A46" s="12"/>
      <c r="B46" s="37">
        <f t="shared" si="0"/>
        <v>0</v>
      </c>
      <c r="C46" s="38"/>
      <c r="D46" s="39"/>
      <c r="E46" s="69"/>
      <c r="F46" s="37"/>
      <c r="G46" s="70"/>
      <c r="H46" s="25">
        <v>43241</v>
      </c>
      <c r="I46" s="31">
        <v>837250</v>
      </c>
      <c r="J46" s="48" t="s">
        <v>20</v>
      </c>
      <c r="K46" s="74" t="s">
        <v>38</v>
      </c>
      <c r="L46" s="79"/>
      <c r="M46" s="62"/>
      <c r="N46" s="62"/>
      <c r="O46" s="61" t="s">
        <v>40</v>
      </c>
      <c r="P46" s="78">
        <v>20</v>
      </c>
    </row>
    <row r="47" ht="18" customHeight="1" spans="1:16">
      <c r="A47" s="12"/>
      <c r="B47" s="37">
        <f t="shared" si="0"/>
        <v>0</v>
      </c>
      <c r="C47" s="38"/>
      <c r="D47" s="39"/>
      <c r="E47" s="69"/>
      <c r="F47" s="37"/>
      <c r="G47" s="70"/>
      <c r="H47" s="25">
        <v>43256</v>
      </c>
      <c r="I47" s="31">
        <v>478250</v>
      </c>
      <c r="J47" s="48" t="s">
        <v>20</v>
      </c>
      <c r="K47" s="74" t="s">
        <v>38</v>
      </c>
      <c r="L47" s="79"/>
      <c r="M47" s="62"/>
      <c r="N47" s="62"/>
      <c r="O47" s="61" t="s">
        <v>40</v>
      </c>
      <c r="P47" s="78">
        <v>21</v>
      </c>
    </row>
    <row r="48" ht="18" customHeight="1" spans="1:16">
      <c r="A48" s="12" t="s">
        <v>95</v>
      </c>
      <c r="B48" s="37">
        <f t="shared" si="0"/>
        <v>4000000</v>
      </c>
      <c r="C48" s="38"/>
      <c r="D48" s="39"/>
      <c r="E48" s="69"/>
      <c r="F48" s="37">
        <v>0</v>
      </c>
      <c r="G48" s="70">
        <v>4000000</v>
      </c>
      <c r="H48" s="25">
        <v>43256</v>
      </c>
      <c r="I48" s="31">
        <v>52750</v>
      </c>
      <c r="J48" s="48" t="s">
        <v>20</v>
      </c>
      <c r="K48" s="74" t="s">
        <v>96</v>
      </c>
      <c r="L48" s="61"/>
      <c r="M48" s="86" t="s">
        <v>97</v>
      </c>
      <c r="N48" s="62"/>
      <c r="O48" s="61" t="s">
        <v>40</v>
      </c>
      <c r="P48" s="78">
        <v>21</v>
      </c>
    </row>
    <row r="49" ht="18" customHeight="1" spans="1:16">
      <c r="A49" s="12"/>
      <c r="B49" s="37">
        <f t="shared" si="0"/>
        <v>0</v>
      </c>
      <c r="C49" s="38"/>
      <c r="D49" s="39"/>
      <c r="E49" s="69"/>
      <c r="F49" s="37"/>
      <c r="G49" s="70"/>
      <c r="H49" s="25">
        <v>43287</v>
      </c>
      <c r="I49" s="31">
        <v>1477500</v>
      </c>
      <c r="J49" s="48" t="s">
        <v>20</v>
      </c>
      <c r="K49" s="74" t="s">
        <v>96</v>
      </c>
      <c r="L49" s="61"/>
      <c r="M49" s="62"/>
      <c r="N49" s="62"/>
      <c r="O49" s="61" t="s">
        <v>40</v>
      </c>
      <c r="P49" s="78">
        <v>22</v>
      </c>
    </row>
    <row r="50" ht="18" customHeight="1" spans="1:16">
      <c r="A50" s="12"/>
      <c r="B50" s="37">
        <f t="shared" si="0"/>
        <v>0</v>
      </c>
      <c r="C50" s="38"/>
      <c r="D50" s="39"/>
      <c r="E50" s="69"/>
      <c r="F50" s="37"/>
      <c r="G50" s="70"/>
      <c r="H50" s="25">
        <v>43318</v>
      </c>
      <c r="I50" s="31">
        <v>807700</v>
      </c>
      <c r="J50" s="48" t="s">
        <v>20</v>
      </c>
      <c r="K50" s="74" t="s">
        <v>96</v>
      </c>
      <c r="L50" s="61"/>
      <c r="M50" s="62"/>
      <c r="N50" s="62"/>
      <c r="O50" s="61" t="s">
        <v>40</v>
      </c>
      <c r="P50" s="78">
        <v>23</v>
      </c>
    </row>
    <row r="51" ht="18" customHeight="1" spans="1:16">
      <c r="A51" s="12" t="s">
        <v>95</v>
      </c>
      <c r="B51" s="37">
        <f t="shared" si="0"/>
        <v>4000000</v>
      </c>
      <c r="C51" s="38"/>
      <c r="D51" s="39"/>
      <c r="E51" s="69"/>
      <c r="F51" s="37">
        <v>0</v>
      </c>
      <c r="G51" s="28">
        <v>4000000</v>
      </c>
      <c r="H51" s="25"/>
      <c r="I51" s="13"/>
      <c r="J51" s="48"/>
      <c r="K51" s="74" t="s">
        <v>43</v>
      </c>
      <c r="L51" s="61"/>
      <c r="M51" s="86" t="s">
        <v>98</v>
      </c>
      <c r="N51" s="62"/>
      <c r="O51" s="61" t="s">
        <v>40</v>
      </c>
      <c r="P51" s="78"/>
    </row>
    <row r="52" ht="18" customHeight="1" spans="1:16">
      <c r="A52" s="12"/>
      <c r="B52" s="37">
        <f t="shared" si="0"/>
        <v>0</v>
      </c>
      <c r="C52" s="38"/>
      <c r="D52" s="39"/>
      <c r="E52" s="69"/>
      <c r="F52" s="37"/>
      <c r="G52" s="28"/>
      <c r="H52" s="25">
        <v>43125</v>
      </c>
      <c r="I52" s="31">
        <v>1573000</v>
      </c>
      <c r="J52" s="48" t="s">
        <v>20</v>
      </c>
      <c r="K52" s="74" t="s">
        <v>43</v>
      </c>
      <c r="L52" s="61" t="s">
        <v>99</v>
      </c>
      <c r="M52" s="62"/>
      <c r="N52" s="62"/>
      <c r="O52" s="61" t="s">
        <v>40</v>
      </c>
      <c r="P52" s="78">
        <v>15</v>
      </c>
    </row>
    <row r="53" ht="18" customHeight="1" spans="1:16">
      <c r="A53" s="12"/>
      <c r="B53" s="37">
        <f t="shared" si="0"/>
        <v>0</v>
      </c>
      <c r="C53" s="38"/>
      <c r="D53" s="39"/>
      <c r="E53" s="69"/>
      <c r="F53" s="37"/>
      <c r="G53" s="28"/>
      <c r="H53" s="25">
        <v>43138</v>
      </c>
      <c r="I53" s="31">
        <v>200000</v>
      </c>
      <c r="J53" s="48" t="s">
        <v>20</v>
      </c>
      <c r="K53" s="74" t="s">
        <v>43</v>
      </c>
      <c r="L53" s="61"/>
      <c r="M53" s="62"/>
      <c r="N53" s="62"/>
      <c r="O53" s="61" t="s">
        <v>40</v>
      </c>
      <c r="P53" s="78">
        <v>16</v>
      </c>
    </row>
    <row r="54" ht="18" customHeight="1" spans="1:16">
      <c r="A54" s="12"/>
      <c r="B54" s="37">
        <f t="shared" si="0"/>
        <v>0</v>
      </c>
      <c r="C54" s="38"/>
      <c r="D54" s="39"/>
      <c r="E54" s="69"/>
      <c r="F54" s="37"/>
      <c r="G54" s="28"/>
      <c r="H54" s="25">
        <v>43144</v>
      </c>
      <c r="I54" s="31">
        <v>789029.42</v>
      </c>
      <c r="J54" s="48" t="s">
        <v>20</v>
      </c>
      <c r="K54" s="74" t="s">
        <v>43</v>
      </c>
      <c r="L54" s="61"/>
      <c r="M54" s="62"/>
      <c r="N54" s="62"/>
      <c r="O54" s="61" t="s">
        <v>40</v>
      </c>
      <c r="P54" s="78">
        <v>17</v>
      </c>
    </row>
    <row r="55" ht="18" customHeight="1" spans="1:16">
      <c r="A55" s="12"/>
      <c r="B55" s="37">
        <f t="shared" si="0"/>
        <v>0</v>
      </c>
      <c r="C55" s="38"/>
      <c r="D55" s="39"/>
      <c r="E55" s="69"/>
      <c r="F55" s="37"/>
      <c r="G55" s="28"/>
      <c r="H55" s="25">
        <v>43256</v>
      </c>
      <c r="I55" s="31">
        <v>257000</v>
      </c>
      <c r="J55" s="48" t="s">
        <v>20</v>
      </c>
      <c r="K55" s="74" t="s">
        <v>43</v>
      </c>
      <c r="L55" s="61"/>
      <c r="M55" s="62"/>
      <c r="N55" s="62"/>
      <c r="O55" s="61" t="s">
        <v>40</v>
      </c>
      <c r="P55" s="78">
        <v>21</v>
      </c>
    </row>
    <row r="56" ht="18" customHeight="1" spans="1:16">
      <c r="A56" s="12"/>
      <c r="B56" s="37">
        <f t="shared" si="0"/>
        <v>0</v>
      </c>
      <c r="C56" s="38"/>
      <c r="D56" s="39"/>
      <c r="E56" s="69"/>
      <c r="F56" s="37">
        <v>0</v>
      </c>
      <c r="G56" s="28"/>
      <c r="H56" s="25">
        <v>43363</v>
      </c>
      <c r="I56" s="31">
        <v>292500</v>
      </c>
      <c r="J56" s="48" t="s">
        <v>20</v>
      </c>
      <c r="K56" s="74" t="s">
        <v>96</v>
      </c>
      <c r="L56" s="61"/>
      <c r="M56" s="62"/>
      <c r="N56" s="62"/>
      <c r="O56" s="61" t="s">
        <v>40</v>
      </c>
      <c r="P56" s="78">
        <v>24</v>
      </c>
    </row>
    <row r="57" ht="18" customHeight="1" spans="1:16">
      <c r="A57" s="12"/>
      <c r="B57" s="37">
        <f t="shared" si="0"/>
        <v>0</v>
      </c>
      <c r="C57" s="38"/>
      <c r="D57" s="39"/>
      <c r="E57" s="69"/>
      <c r="F57" s="37">
        <v>0</v>
      </c>
      <c r="G57" s="28"/>
      <c r="H57" s="25">
        <v>43423</v>
      </c>
      <c r="I57" s="31">
        <v>195000</v>
      </c>
      <c r="J57" s="48" t="s">
        <v>20</v>
      </c>
      <c r="K57" s="74" t="s">
        <v>96</v>
      </c>
      <c r="L57" s="61"/>
      <c r="M57" s="62"/>
      <c r="N57" s="62"/>
      <c r="O57" s="61" t="s">
        <v>40</v>
      </c>
      <c r="P57" s="78">
        <v>25</v>
      </c>
    </row>
    <row r="58" ht="18" customHeight="1" spans="1:16">
      <c r="A58" s="12"/>
      <c r="B58" s="37">
        <f t="shared" si="0"/>
        <v>0</v>
      </c>
      <c r="C58" s="38"/>
      <c r="D58" s="39"/>
      <c r="E58" s="69"/>
      <c r="F58" s="37">
        <v>0</v>
      </c>
      <c r="G58" s="28"/>
      <c r="H58" s="25">
        <v>43472</v>
      </c>
      <c r="I58" s="31">
        <v>194500</v>
      </c>
      <c r="J58" s="48" t="s">
        <v>20</v>
      </c>
      <c r="K58" s="74" t="s">
        <v>96</v>
      </c>
      <c r="L58" s="61"/>
      <c r="M58" s="62"/>
      <c r="N58" s="62"/>
      <c r="O58" s="61" t="s">
        <v>40</v>
      </c>
      <c r="P58" s="78">
        <v>26</v>
      </c>
    </row>
    <row r="59" ht="18" customHeight="1" spans="1:16">
      <c r="A59" s="12" t="s">
        <v>100</v>
      </c>
      <c r="B59" s="37">
        <f t="shared" si="0"/>
        <v>5000000</v>
      </c>
      <c r="C59" s="38"/>
      <c r="D59" s="39" t="s">
        <v>37</v>
      </c>
      <c r="E59" s="69"/>
      <c r="F59" s="37">
        <v>0</v>
      </c>
      <c r="G59" s="28">
        <v>5000000</v>
      </c>
      <c r="H59" s="25">
        <v>43499</v>
      </c>
      <c r="I59" s="75">
        <v>895204.48</v>
      </c>
      <c r="J59" s="48" t="s">
        <v>20</v>
      </c>
      <c r="K59" s="74" t="s">
        <v>44</v>
      </c>
      <c r="L59" s="61"/>
      <c r="N59" s="62"/>
      <c r="O59" s="61" t="s">
        <v>40</v>
      </c>
      <c r="P59" s="78">
        <v>27</v>
      </c>
    </row>
    <row r="60" ht="18" customHeight="1" spans="1:16">
      <c r="A60" s="12"/>
      <c r="B60" s="37">
        <f t="shared" si="0"/>
        <v>0</v>
      </c>
      <c r="C60" s="38"/>
      <c r="D60" s="39"/>
      <c r="E60" s="69"/>
      <c r="F60" s="37">
        <v>0</v>
      </c>
      <c r="G60" s="28"/>
      <c r="H60" s="25">
        <v>43498</v>
      </c>
      <c r="I60" s="75">
        <v>980050</v>
      </c>
      <c r="J60" s="48" t="s">
        <v>20</v>
      </c>
      <c r="K60" s="74" t="s">
        <v>96</v>
      </c>
      <c r="L60" s="61" t="s">
        <v>44</v>
      </c>
      <c r="M60" s="62"/>
      <c r="N60" s="62"/>
      <c r="O60" s="61" t="s">
        <v>40</v>
      </c>
      <c r="P60" s="78">
        <v>27</v>
      </c>
    </row>
    <row r="61" ht="18" customHeight="1" spans="1:16">
      <c r="A61" s="12"/>
      <c r="B61" s="37">
        <f t="shared" si="0"/>
        <v>0</v>
      </c>
      <c r="C61" s="38"/>
      <c r="D61" s="39"/>
      <c r="E61" s="69"/>
      <c r="F61" s="37">
        <v>0</v>
      </c>
      <c r="G61" s="28"/>
      <c r="H61" s="25">
        <v>43498</v>
      </c>
      <c r="I61" s="32">
        <v>1049745.52</v>
      </c>
      <c r="J61" s="48" t="s">
        <v>20</v>
      </c>
      <c r="K61" s="76" t="s">
        <v>43</v>
      </c>
      <c r="L61" s="61"/>
      <c r="M61" s="62"/>
      <c r="N61" s="62"/>
      <c r="O61" s="61" t="s">
        <v>40</v>
      </c>
      <c r="P61" s="78">
        <v>27</v>
      </c>
    </row>
    <row r="62" ht="18" customHeight="1" spans="1:16">
      <c r="A62" s="12"/>
      <c r="B62" s="37">
        <f t="shared" si="0"/>
        <v>0</v>
      </c>
      <c r="C62" s="38"/>
      <c r="D62" s="39"/>
      <c r="E62" s="69"/>
      <c r="F62" s="37"/>
      <c r="G62" s="28"/>
      <c r="H62" s="25">
        <v>43601</v>
      </c>
      <c r="I62" s="15">
        <v>1500000</v>
      </c>
      <c r="J62" s="48" t="s">
        <v>101</v>
      </c>
      <c r="K62" s="74" t="s">
        <v>44</v>
      </c>
      <c r="L62" s="61"/>
      <c r="M62" s="62"/>
      <c r="N62" s="62"/>
      <c r="O62" s="61" t="s">
        <v>40</v>
      </c>
      <c r="P62" s="78">
        <v>28</v>
      </c>
    </row>
    <row r="63" ht="18" customHeight="1" spans="1:16">
      <c r="A63" s="12"/>
      <c r="B63" s="37">
        <f t="shared" si="0"/>
        <v>0</v>
      </c>
      <c r="C63" s="38"/>
      <c r="D63" s="39"/>
      <c r="E63" s="69"/>
      <c r="F63" s="37"/>
      <c r="G63" s="28"/>
      <c r="H63" s="25">
        <v>43498</v>
      </c>
      <c r="I63" s="15"/>
      <c r="J63" s="48" t="s">
        <v>20</v>
      </c>
      <c r="K63" s="76" t="s">
        <v>44</v>
      </c>
      <c r="L63" s="61" t="s">
        <v>102</v>
      </c>
      <c r="M63" s="62"/>
      <c r="N63" s="62"/>
      <c r="O63" s="61" t="s">
        <v>40</v>
      </c>
      <c r="P63" s="78"/>
    </row>
    <row r="64" ht="18" customHeight="1" spans="1:16">
      <c r="A64" s="12">
        <v>44013</v>
      </c>
      <c r="B64" s="37">
        <f t="shared" si="0"/>
        <v>3581032.65</v>
      </c>
      <c r="C64" s="38"/>
      <c r="D64" s="39" t="s">
        <v>37</v>
      </c>
      <c r="E64" s="69"/>
      <c r="F64" s="37">
        <v>0</v>
      </c>
      <c r="G64" s="82">
        <v>3581032.65</v>
      </c>
      <c r="H64" s="83"/>
      <c r="I64" s="87"/>
      <c r="J64" s="88"/>
      <c r="K64" s="89" t="s">
        <v>38</v>
      </c>
      <c r="L64" s="90" t="s">
        <v>39</v>
      </c>
      <c r="M64" s="62"/>
      <c r="N64" s="62"/>
      <c r="O64" s="61" t="s">
        <v>40</v>
      </c>
      <c r="P64" s="78"/>
    </row>
    <row r="65" ht="18" customHeight="1" spans="1:16">
      <c r="A65" s="12"/>
      <c r="B65" s="37">
        <f t="shared" si="0"/>
        <v>0</v>
      </c>
      <c r="C65" s="38"/>
      <c r="D65" s="39"/>
      <c r="E65" s="69"/>
      <c r="F65" s="37">
        <v>0</v>
      </c>
      <c r="G65" s="28"/>
      <c r="H65" s="25"/>
      <c r="I65" s="13"/>
      <c r="J65" s="48"/>
      <c r="K65" s="74"/>
      <c r="L65" s="61"/>
      <c r="M65" s="62"/>
      <c r="N65" s="62"/>
      <c r="O65" s="61"/>
      <c r="P65" s="78"/>
    </row>
    <row r="66" ht="18" customHeight="1" spans="1:16">
      <c r="A66" s="12"/>
      <c r="B66" s="37">
        <f t="shared" si="0"/>
        <v>0</v>
      </c>
      <c r="C66" s="38"/>
      <c r="D66" s="39"/>
      <c r="E66" s="69"/>
      <c r="F66" s="37">
        <v>0</v>
      </c>
      <c r="G66" s="28"/>
      <c r="H66" s="25"/>
      <c r="I66" s="13"/>
      <c r="J66" s="48"/>
      <c r="K66" s="74"/>
      <c r="L66" s="61"/>
      <c r="M66" s="62"/>
      <c r="N66" s="62"/>
      <c r="O66" s="61"/>
      <c r="P66" s="78"/>
    </row>
    <row r="67" ht="18" customHeight="1" spans="1:16">
      <c r="A67" s="12"/>
      <c r="B67" s="37">
        <f t="shared" si="0"/>
        <v>0</v>
      </c>
      <c r="C67" s="38"/>
      <c r="D67" s="39"/>
      <c r="E67" s="69"/>
      <c r="F67" s="37">
        <v>0</v>
      </c>
      <c r="G67" s="28"/>
      <c r="H67" s="25" t="s">
        <v>103</v>
      </c>
      <c r="I67" s="13">
        <v>-37500</v>
      </c>
      <c r="J67" s="48" t="s">
        <v>104</v>
      </c>
      <c r="K67" s="74" t="s">
        <v>105</v>
      </c>
      <c r="L67" s="61"/>
      <c r="M67" s="62"/>
      <c r="N67" s="62"/>
      <c r="O67" s="61"/>
      <c r="P67" s="78"/>
    </row>
    <row r="68" ht="18" customHeight="1" spans="1:16">
      <c r="A68" s="12"/>
      <c r="B68" s="37">
        <f t="shared" si="0"/>
        <v>0</v>
      </c>
      <c r="C68" s="38"/>
      <c r="D68" s="39"/>
      <c r="E68" s="69"/>
      <c r="F68" s="37">
        <v>0</v>
      </c>
      <c r="G68" s="28"/>
      <c r="H68" s="25"/>
      <c r="I68" s="13">
        <v>52000</v>
      </c>
      <c r="J68" s="48" t="s">
        <v>106</v>
      </c>
      <c r="K68" s="74" t="s">
        <v>107</v>
      </c>
      <c r="L68" s="61"/>
      <c r="M68" s="62"/>
      <c r="N68" s="62"/>
      <c r="O68" s="61"/>
      <c r="P68" s="78"/>
    </row>
    <row r="69" ht="18" customHeight="1" spans="1:16">
      <c r="A69" s="12"/>
      <c r="B69" s="37">
        <f t="shared" si="0"/>
        <v>0</v>
      </c>
      <c r="C69" s="38"/>
      <c r="D69" s="39"/>
      <c r="E69" s="69"/>
      <c r="F69" s="37">
        <v>0</v>
      </c>
      <c r="G69" s="28"/>
      <c r="H69" s="25"/>
      <c r="I69" s="13">
        <v>500</v>
      </c>
      <c r="J69" s="48" t="s">
        <v>51</v>
      </c>
      <c r="K69" s="74" t="s">
        <v>85</v>
      </c>
      <c r="L69" s="61"/>
      <c r="M69" s="62"/>
      <c r="N69" s="62"/>
      <c r="O69" s="61"/>
      <c r="P69" s="78"/>
    </row>
    <row r="70" ht="18" customHeight="1" spans="1:15">
      <c r="A70" s="12"/>
      <c r="B70" s="37">
        <f t="shared" si="0"/>
        <v>0</v>
      </c>
      <c r="C70" s="38"/>
      <c r="D70" s="39"/>
      <c r="E70" s="69"/>
      <c r="F70" s="37">
        <v>0</v>
      </c>
      <c r="G70" s="28"/>
      <c r="H70" s="25"/>
      <c r="I70" s="13">
        <v>6500</v>
      </c>
      <c r="J70" s="48" t="s">
        <v>51</v>
      </c>
      <c r="K70" s="74" t="s">
        <v>108</v>
      </c>
      <c r="L70" s="61"/>
      <c r="M70" s="62"/>
      <c r="N70" s="62"/>
      <c r="O70" s="61"/>
    </row>
    <row r="71" ht="18" customHeight="1" spans="1:15">
      <c r="A71" s="12"/>
      <c r="B71" s="37">
        <f t="shared" si="0"/>
        <v>360900</v>
      </c>
      <c r="C71" s="38"/>
      <c r="D71" s="39"/>
      <c r="E71" s="69"/>
      <c r="F71" s="37">
        <v>0</v>
      </c>
      <c r="G71" s="28">
        <v>360900</v>
      </c>
      <c r="H71" s="25"/>
      <c r="I71" s="13">
        <v>360900</v>
      </c>
      <c r="J71" s="48" t="s">
        <v>51</v>
      </c>
      <c r="K71" s="74" t="s">
        <v>87</v>
      </c>
      <c r="L71" s="61"/>
      <c r="M71" s="62"/>
      <c r="N71" s="62"/>
      <c r="O71" s="61"/>
    </row>
    <row r="72" ht="18" customHeight="1" spans="1:15">
      <c r="A72" s="31" t="s">
        <v>23</v>
      </c>
      <c r="B72" s="30">
        <f>SUM(B41:B71)</f>
        <v>28870081.96</v>
      </c>
      <c r="C72" s="31"/>
      <c r="D72" s="41"/>
      <c r="E72" s="41"/>
      <c r="F72" s="33">
        <v>0</v>
      </c>
      <c r="G72" s="43">
        <f>SUM(G41:G71)</f>
        <v>28870081.65</v>
      </c>
      <c r="H72" s="44"/>
      <c r="I72" s="31">
        <f>SUM(I41:I71)</f>
        <v>24060000</v>
      </c>
      <c r="J72" s="63"/>
      <c r="K72" s="77"/>
      <c r="L72" s="34"/>
      <c r="M72" s="48"/>
      <c r="N72" s="48"/>
      <c r="O72" s="34"/>
    </row>
    <row r="73" ht="18" customHeight="1" spans="1:14">
      <c r="A73" s="45"/>
      <c r="B73" s="45">
        <f>B38-B72</f>
        <v>-247720.1638835</v>
      </c>
      <c r="C73" s="45"/>
      <c r="D73" s="46"/>
      <c r="E73" s="46"/>
      <c r="F73" s="45"/>
      <c r="G73" s="45">
        <f>SUM(G41:G64)</f>
        <v>28509181.65</v>
      </c>
      <c r="H73" s="24" t="s">
        <v>72</v>
      </c>
      <c r="I73" s="31">
        <f>I38-I72</f>
        <v>0</v>
      </c>
      <c r="J73" s="54"/>
      <c r="K73" s="64"/>
      <c r="M73" s="65"/>
      <c r="N73" s="65"/>
    </row>
    <row r="74" ht="18" customHeight="1" spans="1:7">
      <c r="A74" s="21" t="s">
        <v>73</v>
      </c>
      <c r="C74" s="21"/>
      <c r="F74" s="2"/>
      <c r="G74" s="2">
        <f>G72-G71</f>
        <v>28509181.65</v>
      </c>
    </row>
    <row r="75" ht="18" customHeight="1" spans="1:7">
      <c r="A75" s="24" t="s">
        <v>74</v>
      </c>
      <c r="B75" s="22" t="s">
        <v>75</v>
      </c>
      <c r="C75" s="34"/>
      <c r="D75" s="24" t="s">
        <v>74</v>
      </c>
      <c r="E75" s="22" t="s">
        <v>15</v>
      </c>
      <c r="F75" s="22" t="s">
        <v>75</v>
      </c>
      <c r="G75" s="2">
        <f>29481032.65-G74</f>
        <v>971851</v>
      </c>
    </row>
    <row r="76" ht="18" customHeight="1" spans="1:7">
      <c r="A76" s="34" t="s">
        <v>76</v>
      </c>
      <c r="B76" s="37">
        <v>3315365.44902913</v>
      </c>
      <c r="C76" s="34"/>
      <c r="D76" s="11" t="s">
        <v>77</v>
      </c>
      <c r="E76" s="48" t="s">
        <v>78</v>
      </c>
      <c r="F76" s="80">
        <v>0</v>
      </c>
      <c r="G76" s="2"/>
    </row>
    <row r="77" ht="18" customHeight="1" spans="1:7">
      <c r="A77" s="34" t="s">
        <v>54</v>
      </c>
      <c r="B77" s="81" t="s">
        <v>109</v>
      </c>
      <c r="C77" s="34"/>
      <c r="D77" s="51" t="s">
        <v>79</v>
      </c>
      <c r="E77" s="14">
        <v>0.05</v>
      </c>
      <c r="F77" s="13">
        <v>0</v>
      </c>
      <c r="G77" s="2"/>
    </row>
    <row r="78" ht="18" customHeight="1" spans="1:7">
      <c r="A78" s="34" t="s">
        <v>80</v>
      </c>
      <c r="B78" s="81" t="s">
        <v>109</v>
      </c>
      <c r="C78" s="34"/>
      <c r="D78" s="51" t="s">
        <v>81</v>
      </c>
      <c r="E78" s="14">
        <v>0.03</v>
      </c>
      <c r="F78" s="13">
        <v>0</v>
      </c>
      <c r="G78" s="2"/>
    </row>
    <row r="79" ht="18" customHeight="1" spans="1:14">
      <c r="A79" s="34"/>
      <c r="B79" s="37"/>
      <c r="C79" s="34"/>
      <c r="D79" s="51" t="s">
        <v>82</v>
      </c>
      <c r="E79" s="14">
        <v>0.02</v>
      </c>
      <c r="F79" s="91">
        <v>0</v>
      </c>
      <c r="G79" s="92" t="s">
        <v>110</v>
      </c>
      <c r="H79" s="93" t="s">
        <v>111</v>
      </c>
      <c r="I79" s="93" t="s">
        <v>112</v>
      </c>
      <c r="J79" s="93" t="s">
        <v>113</v>
      </c>
      <c r="K79" s="93" t="s">
        <v>114</v>
      </c>
      <c r="L79" s="93" t="s">
        <v>115</v>
      </c>
      <c r="M79" s="93" t="s">
        <v>116</v>
      </c>
      <c r="N79" s="100"/>
    </row>
    <row r="80" ht="18" customHeight="1" spans="1:14">
      <c r="A80" s="29" t="s">
        <v>83</v>
      </c>
      <c r="B80" s="30">
        <v>3315365.44902913</v>
      </c>
      <c r="C80" s="34"/>
      <c r="D80" s="29" t="s">
        <v>83</v>
      </c>
      <c r="E80" s="29"/>
      <c r="F80" s="94">
        <v>0</v>
      </c>
      <c r="G80" s="92" t="s">
        <v>117</v>
      </c>
      <c r="H80" s="93" t="s">
        <v>118</v>
      </c>
      <c r="I80" s="93" t="s">
        <v>119</v>
      </c>
      <c r="J80" s="100">
        <f>(1180970.58+2950254.48+3686774.94)/10000</f>
        <v>781.8</v>
      </c>
      <c r="K80" s="100">
        <f>800-J80</f>
        <v>18.2</v>
      </c>
      <c r="L80" s="100"/>
      <c r="M80" s="100"/>
      <c r="N80" s="100" t="s">
        <v>120</v>
      </c>
    </row>
    <row r="81" ht="18" customHeight="1" spans="1:14">
      <c r="A81" s="11"/>
      <c r="B81" s="14" t="s">
        <v>121</v>
      </c>
      <c r="C81" s="25" t="s">
        <v>122</v>
      </c>
      <c r="D81" s="14" t="s">
        <v>123</v>
      </c>
      <c r="F81" s="2"/>
      <c r="G81" s="92" t="s">
        <v>124</v>
      </c>
      <c r="H81" s="93" t="s">
        <v>125</v>
      </c>
      <c r="I81" s="101">
        <f>(2000000+2699433.77)/10000</f>
        <v>469.943377</v>
      </c>
      <c r="J81" s="102">
        <f>(3180970.58+583766.87)/10000</f>
        <v>376.473745</v>
      </c>
      <c r="K81" s="103">
        <f>I81-J81</f>
        <v>93.4696319999999</v>
      </c>
      <c r="L81" s="100">
        <f>384.4+324.5+177.65-200-269.94</f>
        <v>416.61</v>
      </c>
      <c r="M81" s="100"/>
      <c r="N81" s="100"/>
    </row>
    <row r="82" ht="18" customHeight="1" spans="1:14">
      <c r="A82" s="11" t="s">
        <v>80</v>
      </c>
      <c r="B82" s="13">
        <v>17173.4170776699</v>
      </c>
      <c r="C82" s="15">
        <v>2291.53</v>
      </c>
      <c r="D82" s="13">
        <v>14881.8870776699</v>
      </c>
      <c r="F82" s="2"/>
      <c r="G82" s="92" t="s">
        <v>126</v>
      </c>
      <c r="H82" s="93" t="s">
        <v>127</v>
      </c>
      <c r="I82" s="100">
        <v>400</v>
      </c>
      <c r="J82" s="100">
        <v>400</v>
      </c>
      <c r="K82" s="100">
        <v>0</v>
      </c>
      <c r="L82" s="100">
        <f>500-400</f>
        <v>100</v>
      </c>
      <c r="M82" s="100"/>
      <c r="N82" s="100" t="s">
        <v>120</v>
      </c>
    </row>
    <row r="83" ht="18" customHeight="1" spans="3:14">
      <c r="C83" s="21"/>
      <c r="F83" s="2"/>
      <c r="G83" s="92" t="s">
        <v>128</v>
      </c>
      <c r="H83" s="93" t="s">
        <v>129</v>
      </c>
      <c r="I83" s="100">
        <v>500</v>
      </c>
      <c r="J83" s="102">
        <f>(2395204.48+488733.13)/10000</f>
        <v>288.393761</v>
      </c>
      <c r="K83" s="103">
        <f>I83-J83</f>
        <v>211.606239</v>
      </c>
      <c r="L83" s="100"/>
      <c r="M83" s="100"/>
      <c r="N83" s="100"/>
    </row>
    <row r="84" ht="18" customHeight="1" spans="3:14">
      <c r="C84" s="21"/>
      <c r="F84" s="2"/>
      <c r="G84" s="95" t="s">
        <v>130</v>
      </c>
      <c r="H84" s="96" t="s">
        <v>131</v>
      </c>
      <c r="I84" s="100"/>
      <c r="J84" s="100"/>
      <c r="K84" s="100"/>
      <c r="L84" s="100"/>
      <c r="M84" s="100"/>
      <c r="N84" s="100"/>
    </row>
    <row r="85" ht="18" customHeight="1" spans="3:7">
      <c r="C85" s="21"/>
      <c r="F85" s="2"/>
      <c r="G85" s="2">
        <f>40+384.4+324.5+177.65+200+300+500</f>
        <v>1926.55</v>
      </c>
    </row>
    <row r="86" ht="18" customHeight="1" spans="3:7">
      <c r="C86" s="21"/>
      <c r="F86" s="2"/>
      <c r="G86" s="2"/>
    </row>
    <row r="87" ht="18" customHeight="1" spans="3:7">
      <c r="C87" s="21"/>
      <c r="F87" s="2"/>
      <c r="G87" s="2"/>
    </row>
    <row r="88" ht="18" customHeight="1" spans="3:7">
      <c r="C88" s="21"/>
      <c r="F88" s="2"/>
      <c r="G88" s="2"/>
    </row>
    <row r="89" ht="18" customHeight="1" spans="3:7">
      <c r="C89" s="21"/>
      <c r="F89" s="2"/>
      <c r="G89" s="2"/>
    </row>
    <row r="90" ht="18" customHeight="1" spans="3:7">
      <c r="C90" s="21"/>
      <c r="F90" s="2"/>
      <c r="G90" s="2"/>
    </row>
    <row r="91" ht="18" customHeight="1" spans="3:7">
      <c r="C91" s="21"/>
      <c r="F91" s="2"/>
      <c r="G91" s="2"/>
    </row>
    <row r="92" ht="18" customHeight="1" spans="3:7">
      <c r="C92" s="21"/>
      <c r="F92" s="2"/>
      <c r="G92" s="2"/>
    </row>
    <row r="93" ht="18" customHeight="1" spans="3:7">
      <c r="C93" s="21"/>
      <c r="F93" s="2"/>
      <c r="G93" s="2"/>
    </row>
    <row r="94" ht="18" customHeight="1" spans="3:7">
      <c r="C94" s="21"/>
      <c r="F94" s="2"/>
      <c r="G94" s="2"/>
    </row>
    <row r="95" ht="18" customHeight="1" spans="3:8">
      <c r="C95" s="21"/>
      <c r="D95" s="21"/>
      <c r="E95" s="97" t="s">
        <v>132</v>
      </c>
      <c r="F95" s="97"/>
      <c r="G95" s="98" t="s">
        <v>133</v>
      </c>
      <c r="H95" s="99"/>
    </row>
  </sheetData>
  <autoFilter ref="A40:O85">
    <extLst/>
  </autoFilter>
  <mergeCells count="9">
    <mergeCell ref="A1:J1"/>
    <mergeCell ref="H2:J2"/>
    <mergeCell ref="C5:D5"/>
    <mergeCell ref="E5:F5"/>
    <mergeCell ref="H5:J5"/>
    <mergeCell ref="E95:F95"/>
    <mergeCell ref="A5:A6"/>
    <mergeCell ref="B5:B6"/>
    <mergeCell ref="G5:G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5"/>
  <sheetViews>
    <sheetView topLeftCell="A31" workbookViewId="0">
      <selection activeCell="I50" sqref="I50"/>
    </sheetView>
  </sheetViews>
  <sheetFormatPr defaultColWidth="9" defaultRowHeight="11.25"/>
  <cols>
    <col min="1" max="1" width="10.75" style="21" customWidth="1"/>
    <col min="2" max="2" width="14.125" style="19" customWidth="1"/>
    <col min="3" max="3" width="9.625" style="19" customWidth="1"/>
    <col min="4" max="4" width="13.375" style="19" customWidth="1"/>
    <col min="5" max="5" width="6" style="19" customWidth="1"/>
    <col min="6" max="6" width="10.5" style="19" customWidth="1"/>
    <col min="7" max="7" width="14.125" style="19" customWidth="1"/>
    <col min="8" max="8" width="9.625" style="19" customWidth="1"/>
    <col min="9" max="9" width="13.875" style="19" customWidth="1"/>
    <col min="10" max="10" width="7.75" style="58" customWidth="1"/>
    <col min="11" max="11" width="31.5" style="54" customWidth="1"/>
    <col min="12" max="12" width="15" style="54" hidden="1" customWidth="1"/>
    <col min="13" max="13" width="6" style="54" hidden="1" customWidth="1"/>
    <col min="14" max="14" width="5.625" style="54" hidden="1" customWidth="1"/>
    <col min="15" max="15" width="12.375" style="54" customWidth="1"/>
    <col min="16" max="16384" width="9" style="54"/>
  </cols>
  <sheetData>
    <row r="1" ht="21.95" customHeight="1" spans="1:12">
      <c r="A1" s="9" t="s">
        <v>134</v>
      </c>
      <c r="B1" s="9"/>
      <c r="C1" s="9"/>
      <c r="D1" s="9"/>
      <c r="E1" s="9"/>
      <c r="F1" s="9"/>
      <c r="G1" s="9"/>
      <c r="H1" s="9"/>
      <c r="I1" s="9"/>
      <c r="J1" s="9"/>
      <c r="K1" s="1" t="s">
        <v>89</v>
      </c>
      <c r="L1" s="1"/>
    </row>
    <row r="2" ht="18" customHeight="1" spans="1:12">
      <c r="A2" s="11" t="s">
        <v>1</v>
      </c>
      <c r="B2" s="12">
        <v>42443</v>
      </c>
      <c r="C2" s="13" t="s">
        <v>2</v>
      </c>
      <c r="D2" s="13">
        <v>13000000</v>
      </c>
      <c r="E2" s="14" t="s">
        <v>3</v>
      </c>
      <c r="F2" s="13" t="s">
        <v>42</v>
      </c>
      <c r="G2" s="14" t="s">
        <v>4</v>
      </c>
      <c r="H2" s="17" t="s">
        <v>90</v>
      </c>
      <c r="I2" s="71"/>
      <c r="J2" s="56"/>
      <c r="K2" s="1"/>
      <c r="L2" s="1"/>
    </row>
    <row r="3" ht="18" customHeight="1" spans="1:12">
      <c r="A3" s="11" t="s">
        <v>6</v>
      </c>
      <c r="B3" s="66"/>
      <c r="C3" s="13" t="s">
        <v>7</v>
      </c>
      <c r="D3" s="13"/>
      <c r="H3" s="1"/>
      <c r="I3" s="1"/>
      <c r="J3" s="1"/>
      <c r="K3" s="1"/>
      <c r="L3" s="1"/>
    </row>
    <row r="4" ht="18" customHeight="1" spans="1:12">
      <c r="A4" s="21" t="s">
        <v>8</v>
      </c>
      <c r="H4" s="1"/>
      <c r="I4" s="1"/>
      <c r="J4" s="1"/>
      <c r="K4" s="1"/>
      <c r="L4" s="1"/>
    </row>
    <row r="5" ht="18" customHeight="1" spans="1:10">
      <c r="A5" s="22" t="s">
        <v>9</v>
      </c>
      <c r="B5" s="22" t="s">
        <v>10</v>
      </c>
      <c r="C5" s="22" t="s">
        <v>11</v>
      </c>
      <c r="D5" s="22"/>
      <c r="E5" s="22" t="s">
        <v>12</v>
      </c>
      <c r="F5" s="22"/>
      <c r="G5" s="22" t="s">
        <v>13</v>
      </c>
      <c r="H5" s="24" t="s">
        <v>14</v>
      </c>
      <c r="I5" s="24"/>
      <c r="J5" s="24"/>
    </row>
    <row r="6" ht="18" customHeight="1" spans="1:10">
      <c r="A6" s="22"/>
      <c r="B6" s="22"/>
      <c r="C6" s="22" t="s">
        <v>15</v>
      </c>
      <c r="D6" s="22" t="s">
        <v>16</v>
      </c>
      <c r="E6" s="22" t="s">
        <v>15</v>
      </c>
      <c r="F6" s="22" t="s">
        <v>16</v>
      </c>
      <c r="G6" s="22"/>
      <c r="H6" s="24" t="s">
        <v>17</v>
      </c>
      <c r="I6" s="24" t="s">
        <v>18</v>
      </c>
      <c r="J6" s="24" t="s">
        <v>19</v>
      </c>
    </row>
    <row r="7" ht="18" customHeight="1" spans="1:10">
      <c r="A7" s="25">
        <v>42683</v>
      </c>
      <c r="B7" s="13">
        <f t="shared" ref="B7:B29" si="0">G7/(1+C7+E7)</f>
        <v>776699.029126214</v>
      </c>
      <c r="C7" s="26">
        <v>0.03</v>
      </c>
      <c r="D7" s="68">
        <f>G7/(1+E7+C7)*C7</f>
        <v>23300.9708737864</v>
      </c>
      <c r="E7" s="26"/>
      <c r="F7" s="13">
        <f>G7/(1+C7+E7)*E7</f>
        <v>0</v>
      </c>
      <c r="G7" s="28">
        <v>800000</v>
      </c>
      <c r="H7" s="25">
        <v>42625</v>
      </c>
      <c r="I7" s="13">
        <v>800000</v>
      </c>
      <c r="J7" s="48" t="s">
        <v>20</v>
      </c>
    </row>
    <row r="8" ht="18" customHeight="1" spans="1:10">
      <c r="A8" s="25">
        <v>42695</v>
      </c>
      <c r="B8" s="13">
        <f t="shared" si="0"/>
        <v>291262.13592233</v>
      </c>
      <c r="C8" s="26">
        <v>0.03</v>
      </c>
      <c r="D8" s="68">
        <f t="shared" ref="D8:D16" si="1">G8/(1+E8+C8)*C8</f>
        <v>8737.8640776699</v>
      </c>
      <c r="E8" s="26"/>
      <c r="F8" s="13">
        <f t="shared" ref="F8:F29" si="2">G8/(1+C8+E8)*E8</f>
        <v>0</v>
      </c>
      <c r="G8" s="28">
        <v>300000</v>
      </c>
      <c r="H8" s="25">
        <v>42690</v>
      </c>
      <c r="I8" s="13">
        <v>300000</v>
      </c>
      <c r="J8" s="48" t="s">
        <v>20</v>
      </c>
    </row>
    <row r="9" ht="18" customHeight="1" spans="1:10">
      <c r="A9" s="25">
        <v>42731</v>
      </c>
      <c r="B9" s="13">
        <f t="shared" si="0"/>
        <v>1941747.57281553</v>
      </c>
      <c r="C9" s="26">
        <v>0.03</v>
      </c>
      <c r="D9" s="68">
        <f t="shared" si="1"/>
        <v>58252.427184466</v>
      </c>
      <c r="E9" s="26"/>
      <c r="F9" s="13">
        <f t="shared" si="2"/>
        <v>0</v>
      </c>
      <c r="G9" s="28">
        <v>2000000</v>
      </c>
      <c r="H9" s="25">
        <v>42724</v>
      </c>
      <c r="I9" s="13">
        <v>500000</v>
      </c>
      <c r="J9" s="48" t="s">
        <v>20</v>
      </c>
    </row>
    <row r="10" ht="18" customHeight="1" spans="1:10">
      <c r="A10" s="25">
        <v>42809</v>
      </c>
      <c r="B10" s="13">
        <f t="shared" si="0"/>
        <v>1844660.19417476</v>
      </c>
      <c r="C10" s="26">
        <v>0.03</v>
      </c>
      <c r="D10" s="68">
        <f t="shared" si="1"/>
        <v>55339.8058252427</v>
      </c>
      <c r="E10" s="26"/>
      <c r="F10" s="13">
        <f t="shared" si="2"/>
        <v>0</v>
      </c>
      <c r="G10" s="28">
        <v>1900000</v>
      </c>
      <c r="H10" s="25">
        <v>42758</v>
      </c>
      <c r="I10" s="13">
        <v>1740000</v>
      </c>
      <c r="J10" s="48" t="s">
        <v>20</v>
      </c>
    </row>
    <row r="11" ht="18" customHeight="1" spans="1:10">
      <c r="A11" s="25">
        <v>42906</v>
      </c>
      <c r="B11" s="13">
        <f t="shared" si="0"/>
        <v>2135922.33009709</v>
      </c>
      <c r="C11" s="26">
        <v>0.03</v>
      </c>
      <c r="D11" s="68">
        <f t="shared" si="1"/>
        <v>64077.6699029126</v>
      </c>
      <c r="E11" s="26"/>
      <c r="F11" s="13">
        <f t="shared" si="2"/>
        <v>0</v>
      </c>
      <c r="G11" s="28">
        <v>2200000</v>
      </c>
      <c r="H11" s="25">
        <v>42835</v>
      </c>
      <c r="I11" s="13">
        <v>370000</v>
      </c>
      <c r="J11" s="48" t="s">
        <v>20</v>
      </c>
    </row>
    <row r="12" ht="18" customHeight="1" spans="1:10">
      <c r="A12" s="25">
        <v>42971</v>
      </c>
      <c r="B12" s="13">
        <f t="shared" si="0"/>
        <v>1650485.4368932</v>
      </c>
      <c r="C12" s="26">
        <v>0.03</v>
      </c>
      <c r="D12" s="68">
        <f t="shared" si="1"/>
        <v>49514.5631067961</v>
      </c>
      <c r="E12" s="26"/>
      <c r="F12" s="13">
        <f t="shared" si="2"/>
        <v>0</v>
      </c>
      <c r="G12" s="28">
        <v>1700000</v>
      </c>
      <c r="H12" s="25">
        <v>42867</v>
      </c>
      <c r="I12" s="13">
        <v>1090000</v>
      </c>
      <c r="J12" s="48" t="s">
        <v>20</v>
      </c>
    </row>
    <row r="13" ht="18" customHeight="1" spans="1:10">
      <c r="A13" s="25">
        <v>43033</v>
      </c>
      <c r="B13" s="13">
        <f t="shared" si="0"/>
        <v>1941747.57281553</v>
      </c>
      <c r="C13" s="26">
        <v>0.03</v>
      </c>
      <c r="D13" s="68">
        <f t="shared" si="1"/>
        <v>58252.427184466</v>
      </c>
      <c r="E13" s="26"/>
      <c r="F13" s="13">
        <f t="shared" si="2"/>
        <v>0</v>
      </c>
      <c r="G13" s="28">
        <v>2000000</v>
      </c>
      <c r="H13" s="25">
        <v>42919</v>
      </c>
      <c r="I13" s="13">
        <v>666000</v>
      </c>
      <c r="J13" s="48" t="s">
        <v>20</v>
      </c>
    </row>
    <row r="14" ht="18" customHeight="1" spans="1:10">
      <c r="A14" s="25">
        <v>43112</v>
      </c>
      <c r="B14" s="13">
        <f t="shared" si="0"/>
        <v>3883495.14563107</v>
      </c>
      <c r="C14" s="26">
        <v>0.03</v>
      </c>
      <c r="D14" s="68">
        <f t="shared" si="1"/>
        <v>116504.854368932</v>
      </c>
      <c r="E14" s="26"/>
      <c r="F14" s="13">
        <f t="shared" si="2"/>
        <v>0</v>
      </c>
      <c r="G14" s="28">
        <v>4000000</v>
      </c>
      <c r="H14" s="25">
        <v>42936</v>
      </c>
      <c r="I14" s="13">
        <v>1104000</v>
      </c>
      <c r="J14" s="48" t="s">
        <v>20</v>
      </c>
    </row>
    <row r="15" ht="18" customHeight="1" spans="1:10">
      <c r="A15" s="25">
        <v>43222</v>
      </c>
      <c r="B15" s="13">
        <f t="shared" si="0"/>
        <v>3883495.14563107</v>
      </c>
      <c r="C15" s="26">
        <v>0.03</v>
      </c>
      <c r="D15" s="68">
        <f t="shared" si="1"/>
        <v>116504.854368932</v>
      </c>
      <c r="E15" s="26"/>
      <c r="F15" s="13">
        <f t="shared" si="2"/>
        <v>0</v>
      </c>
      <c r="G15" s="28">
        <v>4000000</v>
      </c>
      <c r="H15" s="25">
        <v>42990</v>
      </c>
      <c r="I15" s="13">
        <v>500000</v>
      </c>
      <c r="J15" s="48" t="s">
        <v>20</v>
      </c>
    </row>
    <row r="16" ht="18" customHeight="1" spans="1:10">
      <c r="A16" s="25">
        <v>43293</v>
      </c>
      <c r="B16" s="13">
        <f t="shared" si="0"/>
        <v>1941747.57281553</v>
      </c>
      <c r="C16" s="26">
        <v>0.03</v>
      </c>
      <c r="D16" s="68">
        <f t="shared" si="1"/>
        <v>58252.427184466</v>
      </c>
      <c r="E16" s="26"/>
      <c r="F16" s="13">
        <f t="shared" si="2"/>
        <v>0</v>
      </c>
      <c r="G16" s="28">
        <v>2000000</v>
      </c>
      <c r="H16" s="25">
        <v>43007</v>
      </c>
      <c r="I16" s="13">
        <v>570000</v>
      </c>
      <c r="J16" s="48" t="s">
        <v>20</v>
      </c>
    </row>
    <row r="17" ht="18" customHeight="1" spans="1:10">
      <c r="A17" s="25"/>
      <c r="B17" s="13">
        <f t="shared" si="0"/>
        <v>0</v>
      </c>
      <c r="C17" s="26">
        <v>0.03</v>
      </c>
      <c r="D17" s="68"/>
      <c r="E17" s="26"/>
      <c r="F17" s="13">
        <f t="shared" si="2"/>
        <v>0</v>
      </c>
      <c r="G17" s="28"/>
      <c r="H17" s="25">
        <v>43040</v>
      </c>
      <c r="I17" s="13">
        <v>250000</v>
      </c>
      <c r="J17" s="48" t="s">
        <v>20</v>
      </c>
    </row>
    <row r="18" ht="18" customHeight="1" spans="1:10">
      <c r="A18" s="25"/>
      <c r="B18" s="13">
        <f t="shared" si="0"/>
        <v>0</v>
      </c>
      <c r="C18" s="26">
        <v>0.03</v>
      </c>
      <c r="D18" s="68"/>
      <c r="E18" s="26"/>
      <c r="F18" s="13">
        <f t="shared" si="2"/>
        <v>0</v>
      </c>
      <c r="G18" s="28"/>
      <c r="H18" s="25">
        <v>43054</v>
      </c>
      <c r="I18" s="13">
        <v>1500000</v>
      </c>
      <c r="J18" s="48" t="s">
        <v>20</v>
      </c>
    </row>
    <row r="19" ht="18" customHeight="1" spans="1:10">
      <c r="A19" s="25"/>
      <c r="B19" s="13">
        <f t="shared" si="0"/>
        <v>0</v>
      </c>
      <c r="C19" s="26">
        <v>0.03</v>
      </c>
      <c r="D19" s="68"/>
      <c r="E19" s="26"/>
      <c r="F19" s="13">
        <f t="shared" si="2"/>
        <v>0</v>
      </c>
      <c r="G19" s="28"/>
      <c r="H19" s="25">
        <v>43084</v>
      </c>
      <c r="I19" s="13">
        <v>1000000</v>
      </c>
      <c r="J19" s="48" t="s">
        <v>20</v>
      </c>
    </row>
    <row r="20" ht="18" customHeight="1" spans="1:10">
      <c r="A20" s="25"/>
      <c r="B20" s="13">
        <f t="shared" si="0"/>
        <v>0</v>
      </c>
      <c r="C20" s="26">
        <v>0.03</v>
      </c>
      <c r="D20" s="68"/>
      <c r="E20" s="26"/>
      <c r="F20" s="13">
        <f t="shared" si="2"/>
        <v>0</v>
      </c>
      <c r="G20" s="28"/>
      <c r="H20" s="25">
        <v>43118</v>
      </c>
      <c r="I20" s="13">
        <v>1800000</v>
      </c>
      <c r="J20" s="48" t="s">
        <v>20</v>
      </c>
    </row>
    <row r="21" ht="18" customHeight="1" spans="1:10">
      <c r="A21" s="25"/>
      <c r="B21" s="13">
        <f t="shared" si="0"/>
        <v>0</v>
      </c>
      <c r="C21" s="26">
        <v>0.03</v>
      </c>
      <c r="D21" s="68"/>
      <c r="E21" s="26"/>
      <c r="F21" s="13">
        <f t="shared" si="2"/>
        <v>0</v>
      </c>
      <c r="G21" s="28"/>
      <c r="H21" s="25">
        <v>43143</v>
      </c>
      <c r="I21" s="13">
        <v>2000000</v>
      </c>
      <c r="J21" s="48" t="s">
        <v>20</v>
      </c>
    </row>
    <row r="22" ht="18" customHeight="1" spans="1:10">
      <c r="A22" s="25"/>
      <c r="B22" s="13">
        <f t="shared" si="0"/>
        <v>0</v>
      </c>
      <c r="C22" s="26">
        <v>0.03</v>
      </c>
      <c r="D22" s="68"/>
      <c r="E22" s="26"/>
      <c r="F22" s="13">
        <f t="shared" si="2"/>
        <v>0</v>
      </c>
      <c r="G22" s="28"/>
      <c r="H22" s="25">
        <v>43218</v>
      </c>
      <c r="I22" s="13">
        <v>300000</v>
      </c>
      <c r="J22" s="48" t="s">
        <v>20</v>
      </c>
    </row>
    <row r="23" ht="18" customHeight="1" spans="1:10">
      <c r="A23" s="25"/>
      <c r="B23" s="13">
        <f t="shared" si="0"/>
        <v>0</v>
      </c>
      <c r="C23" s="26">
        <v>0.03</v>
      </c>
      <c r="D23" s="68"/>
      <c r="E23" s="26"/>
      <c r="F23" s="13">
        <f t="shared" si="2"/>
        <v>0</v>
      </c>
      <c r="G23" s="28"/>
      <c r="H23" s="25">
        <v>43231</v>
      </c>
      <c r="I23" s="13">
        <v>400000</v>
      </c>
      <c r="J23" s="48" t="s">
        <v>20</v>
      </c>
    </row>
    <row r="24" ht="18" customHeight="1" spans="1:10">
      <c r="A24" s="25"/>
      <c r="B24" s="13">
        <f t="shared" si="0"/>
        <v>0</v>
      </c>
      <c r="C24" s="26">
        <v>0.03</v>
      </c>
      <c r="D24" s="68"/>
      <c r="E24" s="26"/>
      <c r="F24" s="13">
        <f t="shared" si="2"/>
        <v>0</v>
      </c>
      <c r="G24" s="28"/>
      <c r="H24" s="25">
        <v>43237</v>
      </c>
      <c r="I24" s="13">
        <v>850000</v>
      </c>
      <c r="J24" s="48" t="s">
        <v>20</v>
      </c>
    </row>
    <row r="25" ht="18" customHeight="1" spans="1:10">
      <c r="A25" s="25"/>
      <c r="B25" s="13">
        <f t="shared" si="0"/>
        <v>0</v>
      </c>
      <c r="C25" s="26">
        <v>0.03</v>
      </c>
      <c r="D25" s="68"/>
      <c r="E25" s="26"/>
      <c r="F25" s="13">
        <f t="shared" si="2"/>
        <v>0</v>
      </c>
      <c r="G25" s="28"/>
      <c r="H25" s="25">
        <v>43255</v>
      </c>
      <c r="I25" s="13">
        <v>800000</v>
      </c>
      <c r="J25" s="48" t="s">
        <v>20</v>
      </c>
    </row>
    <row r="26" ht="18" customHeight="1" spans="1:10">
      <c r="A26" s="25"/>
      <c r="B26" s="13">
        <f t="shared" si="0"/>
        <v>0</v>
      </c>
      <c r="C26" s="26">
        <v>0.03</v>
      </c>
      <c r="D26" s="68"/>
      <c r="E26" s="26"/>
      <c r="F26" s="13">
        <f t="shared" si="2"/>
        <v>0</v>
      </c>
      <c r="G26" s="28"/>
      <c r="H26" s="25">
        <v>43285</v>
      </c>
      <c r="I26" s="13">
        <v>1500000</v>
      </c>
      <c r="J26" s="48" t="s">
        <v>20</v>
      </c>
    </row>
    <row r="27" ht="18" customHeight="1" spans="1:10">
      <c r="A27" s="25"/>
      <c r="B27" s="13">
        <f t="shared" si="0"/>
        <v>0</v>
      </c>
      <c r="C27" s="26">
        <v>0.03</v>
      </c>
      <c r="D27" s="68"/>
      <c r="E27" s="26"/>
      <c r="F27" s="13">
        <f t="shared" si="2"/>
        <v>0</v>
      </c>
      <c r="G27" s="28"/>
      <c r="H27" s="25">
        <v>43315</v>
      </c>
      <c r="I27" s="13">
        <v>820000</v>
      </c>
      <c r="J27" s="48" t="s">
        <v>20</v>
      </c>
    </row>
    <row r="28" ht="18" customHeight="1" spans="1:10">
      <c r="A28" s="25"/>
      <c r="B28" s="13">
        <f t="shared" si="0"/>
        <v>0</v>
      </c>
      <c r="C28" s="26">
        <v>0.03</v>
      </c>
      <c r="D28" s="68"/>
      <c r="E28" s="26"/>
      <c r="F28" s="13">
        <f t="shared" si="2"/>
        <v>0</v>
      </c>
      <c r="G28" s="28"/>
      <c r="H28" s="25">
        <v>43362</v>
      </c>
      <c r="I28" s="13">
        <v>300000</v>
      </c>
      <c r="J28" s="48" t="s">
        <v>20</v>
      </c>
    </row>
    <row r="29" ht="18" customHeight="1" spans="1:10">
      <c r="A29" s="25"/>
      <c r="B29" s="13">
        <f t="shared" si="0"/>
        <v>0</v>
      </c>
      <c r="C29" s="26">
        <v>0.03</v>
      </c>
      <c r="D29" s="68"/>
      <c r="E29" s="26"/>
      <c r="F29" s="13">
        <f t="shared" si="2"/>
        <v>0</v>
      </c>
      <c r="G29" s="28"/>
      <c r="H29" s="25">
        <v>43420</v>
      </c>
      <c r="I29" s="13">
        <v>200000</v>
      </c>
      <c r="J29" s="48" t="s">
        <v>20</v>
      </c>
    </row>
    <row r="30" ht="18" customHeight="1" spans="1:10">
      <c r="A30" s="25"/>
      <c r="B30" s="13">
        <f t="shared" ref="B30" si="3">G30/(1+C30+E30)</f>
        <v>0</v>
      </c>
      <c r="C30" s="26">
        <v>0.03</v>
      </c>
      <c r="D30" s="68">
        <f t="shared" ref="D30" si="4">G30/(1+E30+C30)*C30</f>
        <v>0</v>
      </c>
      <c r="E30" s="26"/>
      <c r="F30" s="13">
        <f t="shared" ref="F30" si="5">G30/(1+C30+E30)*E30</f>
        <v>0</v>
      </c>
      <c r="G30" s="28"/>
      <c r="H30" s="25">
        <v>43469</v>
      </c>
      <c r="I30" s="13">
        <v>200000</v>
      </c>
      <c r="J30" s="48" t="s">
        <v>20</v>
      </c>
    </row>
    <row r="31" ht="18" customHeight="1" spans="1:10">
      <c r="A31" s="29" t="s">
        <v>23</v>
      </c>
      <c r="B31" s="30">
        <f>SUM(B7:B30)</f>
        <v>20291262.1359223</v>
      </c>
      <c r="C31" s="31"/>
      <c r="D31" s="31">
        <f t="shared" ref="D31:G31" si="6">SUM(D7:D30)</f>
        <v>608737.86407767</v>
      </c>
      <c r="E31" s="31"/>
      <c r="F31" s="33">
        <f t="shared" si="6"/>
        <v>0</v>
      </c>
      <c r="G31" s="31">
        <f t="shared" si="6"/>
        <v>20900000</v>
      </c>
      <c r="H31" s="34"/>
      <c r="I31" s="31">
        <f>SUM(I7:I30)</f>
        <v>19560000</v>
      </c>
      <c r="J31" s="34"/>
    </row>
    <row r="32" ht="18" customHeight="1" spans="1:12">
      <c r="A32" s="21" t="s">
        <v>24</v>
      </c>
      <c r="B32" s="54"/>
      <c r="J32" s="19"/>
      <c r="K32" s="19"/>
      <c r="L32" s="58"/>
    </row>
    <row r="33" ht="18" customHeight="1" spans="1:15">
      <c r="A33" s="35" t="s">
        <v>92</v>
      </c>
      <c r="B33" s="22" t="s">
        <v>26</v>
      </c>
      <c r="C33" s="22" t="s">
        <v>27</v>
      </c>
      <c r="D33" s="22" t="s">
        <v>28</v>
      </c>
      <c r="E33" s="22" t="s">
        <v>15</v>
      </c>
      <c r="F33" s="22" t="s">
        <v>29</v>
      </c>
      <c r="G33" s="22" t="s">
        <v>13</v>
      </c>
      <c r="H33" s="22" t="s">
        <v>30</v>
      </c>
      <c r="I33" s="22" t="s">
        <v>31</v>
      </c>
      <c r="J33" s="22" t="s">
        <v>19</v>
      </c>
      <c r="K33" s="59" t="s">
        <v>32</v>
      </c>
      <c r="L33" s="24" t="s">
        <v>33</v>
      </c>
      <c r="M33" s="24" t="s">
        <v>34</v>
      </c>
      <c r="N33" s="24" t="s">
        <v>35</v>
      </c>
      <c r="O33" s="24" t="s">
        <v>36</v>
      </c>
    </row>
    <row r="34" s="78" customFormat="1" ht="18" customHeight="1" spans="1:15">
      <c r="A34" s="12" t="s">
        <v>95</v>
      </c>
      <c r="B34" s="37">
        <f t="shared" ref="B34:B62" si="7">ROUND(G34/(1+E34),2)</f>
        <v>2000000</v>
      </c>
      <c r="C34" s="38"/>
      <c r="D34" s="39"/>
      <c r="E34" s="40"/>
      <c r="F34" s="37">
        <f>ROUND(G34/(1+E34)*E34,2)</f>
        <v>0</v>
      </c>
      <c r="G34" s="70">
        <v>2000000</v>
      </c>
      <c r="H34" s="25" t="s">
        <v>95</v>
      </c>
      <c r="I34" s="13">
        <f>1180970.58+290500+837250+394000+478250</f>
        <v>3180970.58</v>
      </c>
      <c r="J34" s="48" t="s">
        <v>20</v>
      </c>
      <c r="K34" s="74" t="s">
        <v>38</v>
      </c>
      <c r="L34" s="79"/>
      <c r="M34" s="62"/>
      <c r="N34" s="62"/>
      <c r="O34" s="61" t="s">
        <v>135</v>
      </c>
    </row>
    <row r="35" s="78" customFormat="1" ht="18" customHeight="1" spans="1:15">
      <c r="A35" s="12" t="s">
        <v>95</v>
      </c>
      <c r="B35" s="37">
        <f t="shared" si="7"/>
        <v>4000000</v>
      </c>
      <c r="C35" s="38"/>
      <c r="D35" s="39"/>
      <c r="E35" s="40"/>
      <c r="F35" s="37">
        <f t="shared" ref="F35:F38" si="8">ROUND(G35/(1+E35)*E35,2)</f>
        <v>0</v>
      </c>
      <c r="G35" s="70">
        <v>4000000</v>
      </c>
      <c r="H35" s="25" t="s">
        <v>95</v>
      </c>
      <c r="I35" s="13">
        <f>52750+1477500+807700</f>
        <v>2337950</v>
      </c>
      <c r="J35" s="48" t="s">
        <v>20</v>
      </c>
      <c r="K35" s="74" t="s">
        <v>96</v>
      </c>
      <c r="L35" s="61"/>
      <c r="M35" s="62"/>
      <c r="N35" s="62"/>
      <c r="O35" s="61" t="s">
        <v>135</v>
      </c>
    </row>
    <row r="36" s="78" customFormat="1" ht="18" customHeight="1" spans="1:15">
      <c r="A36" s="12" t="s">
        <v>95</v>
      </c>
      <c r="B36" s="37">
        <f t="shared" si="7"/>
        <v>4000000</v>
      </c>
      <c r="C36" s="38"/>
      <c r="D36" s="39"/>
      <c r="E36" s="40"/>
      <c r="F36" s="37">
        <f t="shared" si="8"/>
        <v>0</v>
      </c>
      <c r="G36" s="28">
        <v>4000000</v>
      </c>
      <c r="H36" s="25" t="s">
        <v>95</v>
      </c>
      <c r="I36" s="13">
        <f>1573000+200000+789029.42+257000</f>
        <v>2819029.42</v>
      </c>
      <c r="J36" s="48" t="s">
        <v>20</v>
      </c>
      <c r="K36" s="74" t="s">
        <v>43</v>
      </c>
      <c r="L36" s="61"/>
      <c r="M36" s="62"/>
      <c r="N36" s="62"/>
      <c r="O36" s="61" t="s">
        <v>135</v>
      </c>
    </row>
    <row r="37" s="78" customFormat="1" ht="18" customHeight="1" spans="1:15">
      <c r="A37" s="12"/>
      <c r="B37" s="37">
        <f t="shared" si="7"/>
        <v>0</v>
      </c>
      <c r="C37" s="38"/>
      <c r="D37" s="39"/>
      <c r="E37" s="40"/>
      <c r="F37" s="37">
        <f t="shared" si="8"/>
        <v>0</v>
      </c>
      <c r="G37" s="28"/>
      <c r="H37" s="25">
        <v>43363</v>
      </c>
      <c r="I37" s="13">
        <v>292500</v>
      </c>
      <c r="J37" s="48" t="s">
        <v>20</v>
      </c>
      <c r="K37" s="74" t="s">
        <v>96</v>
      </c>
      <c r="L37" s="61"/>
      <c r="M37" s="62"/>
      <c r="N37" s="62"/>
      <c r="O37" s="61" t="s">
        <v>135</v>
      </c>
    </row>
    <row r="38" s="78" customFormat="1" ht="18" customHeight="1" spans="1:15">
      <c r="A38" s="12"/>
      <c r="B38" s="37">
        <f t="shared" si="7"/>
        <v>0</v>
      </c>
      <c r="C38" s="38"/>
      <c r="D38" s="39"/>
      <c r="E38" s="40"/>
      <c r="F38" s="37">
        <f t="shared" si="8"/>
        <v>0</v>
      </c>
      <c r="G38" s="28"/>
      <c r="H38" s="25">
        <v>43423</v>
      </c>
      <c r="I38" s="13">
        <v>195000</v>
      </c>
      <c r="J38" s="48" t="s">
        <v>20</v>
      </c>
      <c r="K38" s="74" t="s">
        <v>96</v>
      </c>
      <c r="L38" s="61"/>
      <c r="M38" s="62"/>
      <c r="N38" s="62"/>
      <c r="O38" s="61" t="s">
        <v>135</v>
      </c>
    </row>
    <row r="39" s="78" customFormat="1" ht="18" customHeight="1" spans="1:15">
      <c r="A39" s="12"/>
      <c r="B39" s="37">
        <f t="shared" si="7"/>
        <v>0</v>
      </c>
      <c r="C39" s="38"/>
      <c r="D39" s="39"/>
      <c r="E39" s="40"/>
      <c r="F39" s="37">
        <f t="shared" ref="F39:F62" si="9">ROUND(G39/(1+E39)*E39,2)</f>
        <v>0</v>
      </c>
      <c r="G39" s="28"/>
      <c r="H39" s="25">
        <v>43472</v>
      </c>
      <c r="I39" s="13">
        <v>194500</v>
      </c>
      <c r="J39" s="48" t="s">
        <v>20</v>
      </c>
      <c r="K39" s="74" t="s">
        <v>96</v>
      </c>
      <c r="L39" s="61"/>
      <c r="M39" s="62"/>
      <c r="N39" s="62"/>
      <c r="O39" s="61" t="s">
        <v>135</v>
      </c>
    </row>
    <row r="40" s="78" customFormat="1" ht="18" customHeight="1" spans="1:15">
      <c r="A40" s="12" t="s">
        <v>100</v>
      </c>
      <c r="B40" s="37">
        <f t="shared" si="7"/>
        <v>5000000</v>
      </c>
      <c r="C40" s="38"/>
      <c r="D40" s="39" t="s">
        <v>37</v>
      </c>
      <c r="E40" s="40"/>
      <c r="F40" s="37">
        <f t="shared" si="9"/>
        <v>0</v>
      </c>
      <c r="G40" s="28">
        <f>100000*50</f>
        <v>5000000</v>
      </c>
      <c r="H40" s="25"/>
      <c r="I40" s="13"/>
      <c r="J40" s="48"/>
      <c r="K40" s="74" t="s">
        <v>44</v>
      </c>
      <c r="L40" s="61"/>
      <c r="M40" s="62"/>
      <c r="N40" s="62"/>
      <c r="O40" s="61" t="s">
        <v>135</v>
      </c>
    </row>
    <row r="41" s="78" customFormat="1" ht="18" customHeight="1" spans="1:15">
      <c r="A41" s="12"/>
      <c r="B41" s="37">
        <f t="shared" si="7"/>
        <v>0</v>
      </c>
      <c r="C41" s="38"/>
      <c r="D41" s="39"/>
      <c r="E41" s="40"/>
      <c r="F41" s="37">
        <f t="shared" si="9"/>
        <v>0</v>
      </c>
      <c r="G41" s="28"/>
      <c r="H41" s="25"/>
      <c r="I41" s="13"/>
      <c r="J41" s="48"/>
      <c r="K41" s="74"/>
      <c r="L41" s="61"/>
      <c r="M41" s="62"/>
      <c r="N41" s="62"/>
      <c r="O41" s="61"/>
    </row>
    <row r="42" s="78" customFormat="1" ht="18" customHeight="1" spans="1:15">
      <c r="A42" s="12"/>
      <c r="B42" s="37">
        <f t="shared" si="7"/>
        <v>0</v>
      </c>
      <c r="C42" s="38"/>
      <c r="D42" s="39"/>
      <c r="E42" s="40"/>
      <c r="F42" s="37">
        <f t="shared" si="9"/>
        <v>0</v>
      </c>
      <c r="G42" s="28"/>
      <c r="H42" s="25"/>
      <c r="I42" s="13"/>
      <c r="J42" s="48"/>
      <c r="K42" s="74"/>
      <c r="L42" s="61"/>
      <c r="M42" s="62"/>
      <c r="N42" s="62"/>
      <c r="O42" s="61"/>
    </row>
    <row r="43" s="78" customFormat="1" ht="18" customHeight="1" spans="1:15">
      <c r="A43" s="12"/>
      <c r="B43" s="37">
        <f t="shared" si="7"/>
        <v>0</v>
      </c>
      <c r="C43" s="38"/>
      <c r="D43" s="39"/>
      <c r="E43" s="40"/>
      <c r="F43" s="37">
        <f t="shared" si="9"/>
        <v>0</v>
      </c>
      <c r="G43" s="28"/>
      <c r="H43" s="25"/>
      <c r="I43" s="13"/>
      <c r="J43" s="48"/>
      <c r="K43" s="74"/>
      <c r="L43" s="61"/>
      <c r="M43" s="62"/>
      <c r="N43" s="62"/>
      <c r="O43" s="61"/>
    </row>
    <row r="44" s="78" customFormat="1" ht="18" customHeight="1" spans="1:15">
      <c r="A44" s="12"/>
      <c r="B44" s="37">
        <f t="shared" si="7"/>
        <v>0</v>
      </c>
      <c r="C44" s="38"/>
      <c r="D44" s="39"/>
      <c r="E44" s="40"/>
      <c r="F44" s="37">
        <f t="shared" si="9"/>
        <v>0</v>
      </c>
      <c r="G44" s="28"/>
      <c r="H44" s="25"/>
      <c r="I44" s="13"/>
      <c r="J44" s="48"/>
      <c r="K44" s="74"/>
      <c r="L44" s="61"/>
      <c r="M44" s="62"/>
      <c r="N44" s="62"/>
      <c r="O44" s="61"/>
    </row>
    <row r="45" s="78" customFormat="1" ht="18" customHeight="1" spans="1:15">
      <c r="A45" s="12"/>
      <c r="B45" s="37">
        <f t="shared" si="7"/>
        <v>0</v>
      </c>
      <c r="C45" s="38"/>
      <c r="D45" s="39"/>
      <c r="E45" s="40"/>
      <c r="F45" s="37">
        <f t="shared" si="9"/>
        <v>0</v>
      </c>
      <c r="G45" s="28"/>
      <c r="H45" s="25"/>
      <c r="I45" s="13"/>
      <c r="J45" s="48"/>
      <c r="K45" s="74"/>
      <c r="L45" s="61"/>
      <c r="M45" s="62"/>
      <c r="N45" s="62"/>
      <c r="O45" s="61"/>
    </row>
    <row r="46" s="78" customFormat="1" ht="18" customHeight="1" spans="1:15">
      <c r="A46" s="12"/>
      <c r="B46" s="37">
        <f t="shared" si="7"/>
        <v>0</v>
      </c>
      <c r="C46" s="38"/>
      <c r="D46" s="39"/>
      <c r="E46" s="40"/>
      <c r="F46" s="37">
        <f t="shared" si="9"/>
        <v>0</v>
      </c>
      <c r="G46" s="28"/>
      <c r="H46" s="25"/>
      <c r="I46" s="13"/>
      <c r="J46" s="48"/>
      <c r="K46" s="74"/>
      <c r="L46" s="61"/>
      <c r="M46" s="62"/>
      <c r="N46" s="62"/>
      <c r="O46" s="61"/>
    </row>
    <row r="47" s="78" customFormat="1" ht="18" customHeight="1" spans="1:15">
      <c r="A47" s="12"/>
      <c r="B47" s="37">
        <f t="shared" si="7"/>
        <v>0</v>
      </c>
      <c r="C47" s="38"/>
      <c r="D47" s="39"/>
      <c r="E47" s="40"/>
      <c r="F47" s="37">
        <f t="shared" si="9"/>
        <v>0</v>
      </c>
      <c r="G47" s="28"/>
      <c r="H47" s="25"/>
      <c r="I47" s="13"/>
      <c r="J47" s="48"/>
      <c r="K47" s="74"/>
      <c r="L47" s="61"/>
      <c r="M47" s="62"/>
      <c r="N47" s="62"/>
      <c r="O47" s="61"/>
    </row>
    <row r="48" s="78" customFormat="1" ht="18" customHeight="1" spans="1:15">
      <c r="A48" s="12"/>
      <c r="B48" s="37">
        <f t="shared" si="7"/>
        <v>0</v>
      </c>
      <c r="C48" s="38"/>
      <c r="D48" s="39"/>
      <c r="E48" s="40"/>
      <c r="F48" s="37">
        <f t="shared" si="9"/>
        <v>0</v>
      </c>
      <c r="G48" s="28"/>
      <c r="H48" s="25"/>
      <c r="I48" s="13"/>
      <c r="J48" s="48"/>
      <c r="K48" s="74"/>
      <c r="L48" s="61"/>
      <c r="M48" s="62"/>
      <c r="N48" s="62"/>
      <c r="O48" s="61"/>
    </row>
    <row r="49" s="78" customFormat="1" ht="18" customHeight="1" spans="1:15">
      <c r="A49" s="12"/>
      <c r="B49" s="37">
        <f t="shared" si="7"/>
        <v>0</v>
      </c>
      <c r="C49" s="38"/>
      <c r="D49" s="39"/>
      <c r="E49" s="40"/>
      <c r="F49" s="37">
        <f t="shared" si="9"/>
        <v>0</v>
      </c>
      <c r="G49" s="28"/>
      <c r="H49" s="25"/>
      <c r="I49" s="13"/>
      <c r="J49" s="48"/>
      <c r="K49" s="74"/>
      <c r="L49" s="61"/>
      <c r="M49" s="62"/>
      <c r="N49" s="62"/>
      <c r="O49" s="61"/>
    </row>
    <row r="50" s="78" customFormat="1" ht="18" customHeight="1" spans="1:15">
      <c r="A50" s="12"/>
      <c r="B50" s="37">
        <f t="shared" si="7"/>
        <v>0</v>
      </c>
      <c r="C50" s="38"/>
      <c r="D50" s="39"/>
      <c r="E50" s="40"/>
      <c r="F50" s="37">
        <f t="shared" si="9"/>
        <v>0</v>
      </c>
      <c r="G50" s="28"/>
      <c r="H50" s="25"/>
      <c r="I50" s="13"/>
      <c r="J50" s="48"/>
      <c r="K50" s="74"/>
      <c r="L50" s="61"/>
      <c r="M50" s="62"/>
      <c r="N50" s="62"/>
      <c r="O50" s="61"/>
    </row>
    <row r="51" s="78" customFormat="1" ht="18" customHeight="1" spans="1:15">
      <c r="A51" s="12"/>
      <c r="B51" s="37">
        <f t="shared" si="7"/>
        <v>0</v>
      </c>
      <c r="C51" s="38"/>
      <c r="D51" s="39"/>
      <c r="E51" s="40"/>
      <c r="F51" s="37">
        <f t="shared" si="9"/>
        <v>0</v>
      </c>
      <c r="G51" s="28"/>
      <c r="H51" s="25"/>
      <c r="I51" s="13"/>
      <c r="J51" s="48"/>
      <c r="K51" s="74"/>
      <c r="L51" s="61"/>
      <c r="M51" s="62"/>
      <c r="N51" s="62"/>
      <c r="O51" s="61"/>
    </row>
    <row r="52" s="78" customFormat="1" ht="18" customHeight="1" spans="1:15">
      <c r="A52" s="12"/>
      <c r="B52" s="37">
        <f t="shared" si="7"/>
        <v>0</v>
      </c>
      <c r="C52" s="38"/>
      <c r="D52" s="39"/>
      <c r="E52" s="40"/>
      <c r="F52" s="37">
        <f t="shared" si="9"/>
        <v>0</v>
      </c>
      <c r="G52" s="28"/>
      <c r="H52" s="25"/>
      <c r="I52" s="13"/>
      <c r="J52" s="48"/>
      <c r="K52" s="74"/>
      <c r="L52" s="61"/>
      <c r="M52" s="62"/>
      <c r="N52" s="62"/>
      <c r="O52" s="61"/>
    </row>
    <row r="53" s="78" customFormat="1" ht="18" customHeight="1" spans="1:15">
      <c r="A53" s="12"/>
      <c r="B53" s="37">
        <f t="shared" si="7"/>
        <v>0</v>
      </c>
      <c r="C53" s="38"/>
      <c r="D53" s="39"/>
      <c r="E53" s="40"/>
      <c r="F53" s="37">
        <f t="shared" si="9"/>
        <v>0</v>
      </c>
      <c r="G53" s="28"/>
      <c r="H53" s="25"/>
      <c r="I53" s="13"/>
      <c r="J53" s="48"/>
      <c r="K53" s="74"/>
      <c r="L53" s="61"/>
      <c r="M53" s="62"/>
      <c r="N53" s="62"/>
      <c r="O53" s="61"/>
    </row>
    <row r="54" s="78" customFormat="1" ht="18" customHeight="1" spans="1:15">
      <c r="A54" s="12"/>
      <c r="B54" s="37">
        <f t="shared" si="7"/>
        <v>0</v>
      </c>
      <c r="C54" s="38"/>
      <c r="D54" s="39"/>
      <c r="E54" s="40"/>
      <c r="F54" s="37">
        <f t="shared" si="9"/>
        <v>0</v>
      </c>
      <c r="G54" s="28"/>
      <c r="H54" s="25"/>
      <c r="I54" s="13"/>
      <c r="J54" s="48"/>
      <c r="K54" s="74"/>
      <c r="L54" s="61"/>
      <c r="M54" s="62"/>
      <c r="N54" s="62"/>
      <c r="O54" s="61"/>
    </row>
    <row r="55" s="78" customFormat="1" ht="18" customHeight="1" spans="1:15">
      <c r="A55" s="12"/>
      <c r="B55" s="37">
        <f t="shared" si="7"/>
        <v>0</v>
      </c>
      <c r="C55" s="38"/>
      <c r="D55" s="39"/>
      <c r="E55" s="40"/>
      <c r="F55" s="37">
        <f t="shared" si="9"/>
        <v>0</v>
      </c>
      <c r="G55" s="28"/>
      <c r="H55" s="25"/>
      <c r="I55" s="13"/>
      <c r="J55" s="48"/>
      <c r="K55" s="74"/>
      <c r="L55" s="61"/>
      <c r="M55" s="62"/>
      <c r="N55" s="62"/>
      <c r="O55" s="61"/>
    </row>
    <row r="56" s="78" customFormat="1" ht="18" hidden="1" customHeight="1" spans="1:15">
      <c r="A56" s="12"/>
      <c r="B56" s="37">
        <f t="shared" si="7"/>
        <v>0</v>
      </c>
      <c r="C56" s="38"/>
      <c r="D56" s="39"/>
      <c r="E56" s="40"/>
      <c r="F56" s="37">
        <f t="shared" si="9"/>
        <v>0</v>
      </c>
      <c r="G56" s="28"/>
      <c r="H56" s="25"/>
      <c r="I56" s="13"/>
      <c r="J56" s="48"/>
      <c r="K56" s="74"/>
      <c r="L56" s="61"/>
      <c r="M56" s="62"/>
      <c r="N56" s="62"/>
      <c r="O56" s="61"/>
    </row>
    <row r="57" s="78" customFormat="1" ht="18" hidden="1" customHeight="1" spans="1:15">
      <c r="A57" s="12"/>
      <c r="B57" s="37">
        <f t="shared" si="7"/>
        <v>0</v>
      </c>
      <c r="C57" s="38"/>
      <c r="D57" s="39"/>
      <c r="E57" s="40"/>
      <c r="F57" s="37">
        <f t="shared" si="9"/>
        <v>0</v>
      </c>
      <c r="G57" s="28"/>
      <c r="H57" s="25"/>
      <c r="I57" s="13"/>
      <c r="J57" s="48"/>
      <c r="K57" s="74"/>
      <c r="L57" s="61"/>
      <c r="M57" s="62"/>
      <c r="N57" s="62"/>
      <c r="O57" s="61"/>
    </row>
    <row r="58" s="78" customFormat="1" ht="18" hidden="1" customHeight="1" spans="1:15">
      <c r="A58" s="12"/>
      <c r="B58" s="37">
        <f t="shared" si="7"/>
        <v>0</v>
      </c>
      <c r="C58" s="38"/>
      <c r="D58" s="39"/>
      <c r="E58" s="40"/>
      <c r="F58" s="37">
        <f t="shared" si="9"/>
        <v>0</v>
      </c>
      <c r="G58" s="28"/>
      <c r="H58" s="25"/>
      <c r="I58" s="13"/>
      <c r="J58" s="48"/>
      <c r="K58" s="74"/>
      <c r="L58" s="61"/>
      <c r="M58" s="62"/>
      <c r="N58" s="62"/>
      <c r="O58" s="61"/>
    </row>
    <row r="59" s="78" customFormat="1" ht="18" hidden="1" customHeight="1" spans="1:15">
      <c r="A59" s="12"/>
      <c r="B59" s="37">
        <f t="shared" si="7"/>
        <v>0</v>
      </c>
      <c r="C59" s="38"/>
      <c r="D59" s="39"/>
      <c r="E59" s="40"/>
      <c r="F59" s="37">
        <f t="shared" si="9"/>
        <v>0</v>
      </c>
      <c r="G59" s="28"/>
      <c r="H59" s="25"/>
      <c r="I59" s="13"/>
      <c r="J59" s="48"/>
      <c r="K59" s="74"/>
      <c r="L59" s="61"/>
      <c r="M59" s="62"/>
      <c r="N59" s="62"/>
      <c r="O59" s="61"/>
    </row>
    <row r="60" s="78" customFormat="1" ht="18" customHeight="1" spans="1:15">
      <c r="A60" s="12"/>
      <c r="B60" s="37">
        <f t="shared" si="7"/>
        <v>0</v>
      </c>
      <c r="C60" s="38"/>
      <c r="D60" s="39"/>
      <c r="E60" s="40"/>
      <c r="F60" s="37">
        <f t="shared" si="9"/>
        <v>0</v>
      </c>
      <c r="G60" s="28"/>
      <c r="H60" s="25"/>
      <c r="I60" s="13"/>
      <c r="J60" s="48"/>
      <c r="K60" s="74"/>
      <c r="L60" s="61"/>
      <c r="M60" s="62"/>
      <c r="N60" s="62"/>
      <c r="O60" s="61"/>
    </row>
    <row r="61" s="78" customFormat="1" ht="18" customHeight="1" spans="1:15">
      <c r="A61" s="12"/>
      <c r="B61" s="37">
        <f t="shared" si="7"/>
        <v>0</v>
      </c>
      <c r="C61" s="38"/>
      <c r="D61" s="39"/>
      <c r="E61" s="40"/>
      <c r="F61" s="37">
        <f t="shared" si="9"/>
        <v>0</v>
      </c>
      <c r="G61" s="28"/>
      <c r="H61" s="25"/>
      <c r="I61" s="13"/>
      <c r="J61" s="48"/>
      <c r="K61" s="74"/>
      <c r="L61" s="61"/>
      <c r="M61" s="62"/>
      <c r="N61" s="62"/>
      <c r="O61" s="61"/>
    </row>
    <row r="62" s="78" customFormat="1" ht="18" customHeight="1" spans="1:15">
      <c r="A62" s="12"/>
      <c r="B62" s="37">
        <f t="shared" si="7"/>
        <v>293400</v>
      </c>
      <c r="C62" s="38"/>
      <c r="D62" s="39"/>
      <c r="E62" s="40"/>
      <c r="F62" s="37">
        <f t="shared" si="9"/>
        <v>0</v>
      </c>
      <c r="G62" s="28">
        <v>293400</v>
      </c>
      <c r="H62" s="25"/>
      <c r="I62" s="13">
        <f>G62</f>
        <v>293400</v>
      </c>
      <c r="J62" s="48" t="s">
        <v>51</v>
      </c>
      <c r="K62" s="74" t="s">
        <v>87</v>
      </c>
      <c r="L62" s="61"/>
      <c r="M62" s="62"/>
      <c r="N62" s="62"/>
      <c r="O62" s="61"/>
    </row>
    <row r="63" ht="18" customHeight="1" spans="1:15">
      <c r="A63" s="31" t="s">
        <v>23</v>
      </c>
      <c r="B63" s="30">
        <f>SUM(B34:B62)</f>
        <v>15293400</v>
      </c>
      <c r="C63" s="31"/>
      <c r="D63" s="41"/>
      <c r="E63" s="41"/>
      <c r="F63" s="33">
        <f>SUM(F34:F62)</f>
        <v>0</v>
      </c>
      <c r="G63" s="43">
        <f>SUM(G34:G62)</f>
        <v>15293400</v>
      </c>
      <c r="H63" s="44"/>
      <c r="I63" s="31">
        <f>SUM(I34:I62)</f>
        <v>9313350</v>
      </c>
      <c r="J63" s="63"/>
      <c r="K63" s="77"/>
      <c r="L63" s="34"/>
      <c r="M63" s="48"/>
      <c r="N63" s="48"/>
      <c r="O63" s="34"/>
    </row>
    <row r="64" ht="18" customHeight="1" spans="1:14">
      <c r="A64" s="45"/>
      <c r="B64" s="45">
        <f>B31-B63</f>
        <v>4997862.13592233</v>
      </c>
      <c r="C64" s="45"/>
      <c r="D64" s="46"/>
      <c r="E64" s="46"/>
      <c r="F64" s="45"/>
      <c r="G64" s="45"/>
      <c r="H64" s="24" t="s">
        <v>72</v>
      </c>
      <c r="I64" s="31">
        <f>I31-I63</f>
        <v>10246650</v>
      </c>
      <c r="J64" s="54"/>
      <c r="K64" s="64"/>
      <c r="M64" s="65"/>
      <c r="N64" s="65"/>
    </row>
    <row r="65" ht="18" customHeight="1" spans="1:7">
      <c r="A65" s="21" t="s">
        <v>73</v>
      </c>
      <c r="C65" s="21"/>
      <c r="F65" s="2"/>
      <c r="G65" s="2"/>
    </row>
    <row r="66" ht="18" customHeight="1" spans="1:7">
      <c r="A66" s="24" t="s">
        <v>74</v>
      </c>
      <c r="B66" s="22" t="s">
        <v>75</v>
      </c>
      <c r="C66" s="34"/>
      <c r="D66" s="24" t="s">
        <v>74</v>
      </c>
      <c r="E66" s="22" t="s">
        <v>15</v>
      </c>
      <c r="F66" s="22" t="s">
        <v>75</v>
      </c>
      <c r="G66" s="2"/>
    </row>
    <row r="67" ht="18" customHeight="1" spans="1:7">
      <c r="A67" s="34" t="s">
        <v>76</v>
      </c>
      <c r="B67" s="37">
        <f>(B31-B63)*0.25</f>
        <v>1249465.53398058</v>
      </c>
      <c r="C67" s="34"/>
      <c r="D67" s="11" t="s">
        <v>77</v>
      </c>
      <c r="E67" s="48" t="s">
        <v>78</v>
      </c>
      <c r="F67" s="80">
        <f>F31-F63</f>
        <v>0</v>
      </c>
      <c r="G67" s="2"/>
    </row>
    <row r="68" ht="18" customHeight="1" spans="1:7">
      <c r="A68" s="34" t="s">
        <v>54</v>
      </c>
      <c r="B68" s="81" t="s">
        <v>136</v>
      </c>
      <c r="C68" s="34"/>
      <c r="D68" s="51" t="s">
        <v>79</v>
      </c>
      <c r="E68" s="14">
        <v>0.05</v>
      </c>
      <c r="F68" s="13">
        <f>F67*E68</f>
        <v>0</v>
      </c>
      <c r="G68" s="2"/>
    </row>
    <row r="69" ht="18" customHeight="1" spans="1:7">
      <c r="A69" s="34" t="s">
        <v>80</v>
      </c>
      <c r="B69" s="37">
        <f>B31*0.0006</f>
        <v>12174.7572815534</v>
      </c>
      <c r="C69" s="34"/>
      <c r="D69" s="51" t="s">
        <v>81</v>
      </c>
      <c r="E69" s="14">
        <v>0.03</v>
      </c>
      <c r="F69" s="13">
        <f>F67*E69</f>
        <v>0</v>
      </c>
      <c r="G69" s="2"/>
    </row>
    <row r="70" ht="18" customHeight="1" spans="1:7">
      <c r="A70" s="34"/>
      <c r="B70" s="37"/>
      <c r="C70" s="34"/>
      <c r="D70" s="51" t="s">
        <v>82</v>
      </c>
      <c r="E70" s="14">
        <v>0.02</v>
      </c>
      <c r="F70" s="13">
        <f>F67*E70</f>
        <v>0</v>
      </c>
      <c r="G70" s="2"/>
    </row>
    <row r="71" ht="18" customHeight="1" spans="1:7">
      <c r="A71" s="29" t="s">
        <v>83</v>
      </c>
      <c r="B71" s="30">
        <f>SUM(B67:B70)</f>
        <v>1261640.29126214</v>
      </c>
      <c r="C71" s="34"/>
      <c r="D71" s="29" t="s">
        <v>83</v>
      </c>
      <c r="E71" s="29"/>
      <c r="F71" s="33">
        <f>SUM(F67:F70)</f>
        <v>0</v>
      </c>
      <c r="G71" s="2"/>
    </row>
    <row r="72" ht="18" customHeight="1" spans="1:7">
      <c r="A72" s="11"/>
      <c r="B72" s="14" t="s">
        <v>121</v>
      </c>
      <c r="C72" s="25" t="s">
        <v>122</v>
      </c>
      <c r="D72" s="14" t="s">
        <v>123</v>
      </c>
      <c r="F72" s="2"/>
      <c r="G72" s="2"/>
    </row>
    <row r="73" ht="18" customHeight="1" spans="1:7">
      <c r="A73" s="11" t="s">
        <v>80</v>
      </c>
      <c r="B73" s="13">
        <f>B31*0.0006</f>
        <v>12174.7572815534</v>
      </c>
      <c r="C73" s="15">
        <v>2291.53</v>
      </c>
      <c r="D73" s="13">
        <f>B73-C73</f>
        <v>9883.22728155339</v>
      </c>
      <c r="F73" s="2"/>
      <c r="G73" s="2"/>
    </row>
    <row r="74" ht="18" customHeight="1" spans="3:7">
      <c r="C74" s="21"/>
      <c r="F74" s="2"/>
      <c r="G74" s="2"/>
    </row>
    <row r="75" ht="18" customHeight="1" spans="3:7">
      <c r="C75" s="21"/>
      <c r="F75" s="2"/>
      <c r="G75" s="2"/>
    </row>
    <row r="76" ht="18" customHeight="1" spans="3:7">
      <c r="C76" s="21"/>
      <c r="F76" s="2"/>
      <c r="G76" s="2"/>
    </row>
    <row r="77" ht="18" customHeight="1" spans="3:7">
      <c r="C77" s="21"/>
      <c r="F77" s="2"/>
      <c r="G77" s="2"/>
    </row>
    <row r="78" ht="18" customHeight="1" spans="3:7">
      <c r="C78" s="21"/>
      <c r="F78" s="2"/>
      <c r="G78" s="2"/>
    </row>
    <row r="79" spans="3:7">
      <c r="C79" s="21"/>
      <c r="F79" s="2"/>
      <c r="G79" s="2"/>
    </row>
    <row r="80" spans="3:7">
      <c r="C80" s="21"/>
      <c r="F80" s="2"/>
      <c r="G80" s="2"/>
    </row>
    <row r="81" spans="3:7">
      <c r="C81" s="21"/>
      <c r="F81" s="2"/>
      <c r="G81" s="2"/>
    </row>
    <row r="82" spans="3:7">
      <c r="C82" s="21"/>
      <c r="F82" s="2"/>
      <c r="G82" s="2"/>
    </row>
    <row r="83" spans="3:7">
      <c r="C83" s="21"/>
      <c r="F83" s="2"/>
      <c r="G83" s="2"/>
    </row>
    <row r="84" spans="3:7">
      <c r="C84" s="21"/>
      <c r="F84" s="2"/>
      <c r="G84" s="2"/>
    </row>
    <row r="85" spans="3:7">
      <c r="C85" s="21"/>
      <c r="F85" s="2"/>
      <c r="G85" s="2"/>
    </row>
    <row r="86" spans="3:7">
      <c r="C86" s="21"/>
      <c r="F86" s="2"/>
      <c r="G86" s="2"/>
    </row>
    <row r="87" spans="3:7">
      <c r="C87" s="21"/>
      <c r="F87" s="2"/>
      <c r="G87" s="2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scale="76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opLeftCell="A34" workbookViewId="0">
      <selection activeCell="N49" sqref="N49"/>
    </sheetView>
  </sheetViews>
  <sheetFormatPr defaultColWidth="9" defaultRowHeight="13.5"/>
  <cols>
    <col min="4" max="4" width="18.375" customWidth="1"/>
    <col min="9" max="9" width="19.75" customWidth="1"/>
  </cols>
  <sheetData>
    <row r="1" ht="15" customHeight="1" spans="1:11">
      <c r="A1" s="9">
        <v>15</v>
      </c>
      <c r="B1" s="9"/>
      <c r="C1" s="9"/>
      <c r="D1" s="9"/>
      <c r="E1" s="9"/>
      <c r="F1" s="9"/>
      <c r="G1" s="9"/>
      <c r="H1" s="9"/>
      <c r="I1" s="9"/>
      <c r="J1" s="9"/>
      <c r="K1" s="1" t="s">
        <v>89</v>
      </c>
    </row>
    <row r="2" ht="15" customHeight="1" spans="1:11">
      <c r="A2" s="11">
        <v>10</v>
      </c>
      <c r="B2" s="12">
        <v>42443</v>
      </c>
      <c r="C2" s="13" t="s">
        <v>2</v>
      </c>
      <c r="D2" s="13">
        <v>13000000</v>
      </c>
      <c r="E2" s="14" t="s">
        <v>3</v>
      </c>
      <c r="F2" s="13" t="s">
        <v>42</v>
      </c>
      <c r="G2" s="14" t="s">
        <v>4</v>
      </c>
      <c r="H2" s="17" t="s">
        <v>90</v>
      </c>
      <c r="I2" s="71"/>
      <c r="J2" s="56"/>
      <c r="K2" s="1"/>
    </row>
    <row r="3" ht="15" customHeight="1" spans="1:11">
      <c r="A3" s="11" t="s">
        <v>6</v>
      </c>
      <c r="B3" s="66"/>
      <c r="C3" s="13" t="s">
        <v>7</v>
      </c>
      <c r="D3" s="13"/>
      <c r="H3" s="1"/>
      <c r="I3" s="1"/>
      <c r="J3" s="1"/>
      <c r="K3" s="1"/>
    </row>
    <row r="4" ht="15" customHeight="1" spans="1:11">
      <c r="A4" s="21" t="s">
        <v>8</v>
      </c>
      <c r="H4" s="1"/>
      <c r="I4" s="1"/>
      <c r="J4" s="1"/>
      <c r="K4" s="1"/>
    </row>
    <row r="5" ht="15" customHeight="1" spans="1:10">
      <c r="A5" s="22" t="s">
        <v>9</v>
      </c>
      <c r="B5" s="22" t="s">
        <v>10</v>
      </c>
      <c r="C5" s="22" t="s">
        <v>11</v>
      </c>
      <c r="D5" s="22"/>
      <c r="E5" s="22" t="s">
        <v>12</v>
      </c>
      <c r="F5" s="22"/>
      <c r="G5" s="22" t="s">
        <v>13</v>
      </c>
      <c r="H5" s="67" t="s">
        <v>14</v>
      </c>
      <c r="I5" s="67"/>
      <c r="J5" s="67"/>
    </row>
    <row r="6" ht="15" customHeight="1" spans="1:10">
      <c r="A6" s="22"/>
      <c r="B6" s="22"/>
      <c r="C6" s="22" t="s">
        <v>15</v>
      </c>
      <c r="D6" s="22" t="s">
        <v>16</v>
      </c>
      <c r="E6" s="22" t="s">
        <v>15</v>
      </c>
      <c r="F6" s="22" t="s">
        <v>16</v>
      </c>
      <c r="G6" s="22"/>
      <c r="H6" s="24" t="s">
        <v>17</v>
      </c>
      <c r="I6" s="24" t="s">
        <v>18</v>
      </c>
      <c r="J6" s="24" t="s">
        <v>19</v>
      </c>
    </row>
    <row r="7" ht="15" customHeight="1" spans="1:10">
      <c r="A7" s="25"/>
      <c r="B7" s="13"/>
      <c r="C7" s="26"/>
      <c r="D7" s="68"/>
      <c r="E7" s="26"/>
      <c r="F7" s="13"/>
      <c r="G7" s="28"/>
      <c r="H7" s="25">
        <v>42625</v>
      </c>
      <c r="I7" s="13">
        <v>800000</v>
      </c>
      <c r="J7" s="48" t="s">
        <v>20</v>
      </c>
    </row>
    <row r="8" ht="15" customHeight="1" spans="1:10">
      <c r="A8" s="25"/>
      <c r="B8" s="13"/>
      <c r="C8" s="26"/>
      <c r="D8" s="68"/>
      <c r="E8" s="26"/>
      <c r="F8" s="13"/>
      <c r="G8" s="28"/>
      <c r="H8" s="25">
        <v>42690</v>
      </c>
      <c r="I8" s="13">
        <v>300000</v>
      </c>
      <c r="J8" s="48" t="s">
        <v>20</v>
      </c>
    </row>
    <row r="9" ht="15" customHeight="1" spans="1:10">
      <c r="A9" s="25"/>
      <c r="B9" s="13"/>
      <c r="C9" s="26"/>
      <c r="D9" s="68"/>
      <c r="E9" s="26"/>
      <c r="F9" s="13"/>
      <c r="G9" s="28"/>
      <c r="H9" s="25">
        <v>42724</v>
      </c>
      <c r="I9" s="13">
        <v>500000</v>
      </c>
      <c r="J9" s="48" t="s">
        <v>20</v>
      </c>
    </row>
    <row r="10" ht="15" customHeight="1" spans="1:10">
      <c r="A10" s="25"/>
      <c r="B10" s="13"/>
      <c r="C10" s="26"/>
      <c r="D10" s="68"/>
      <c r="E10" s="26"/>
      <c r="F10" s="13"/>
      <c r="G10" s="28"/>
      <c r="H10" s="25">
        <v>42758</v>
      </c>
      <c r="I10" s="13">
        <v>1740000</v>
      </c>
      <c r="J10" s="48" t="s">
        <v>20</v>
      </c>
    </row>
    <row r="11" ht="15" customHeight="1" spans="1:10">
      <c r="A11" s="25"/>
      <c r="B11" s="13"/>
      <c r="C11" s="26"/>
      <c r="D11" s="68"/>
      <c r="E11" s="26"/>
      <c r="F11" s="13"/>
      <c r="G11" s="28"/>
      <c r="H11" s="25">
        <v>42835</v>
      </c>
      <c r="I11" s="13">
        <v>370000</v>
      </c>
      <c r="J11" s="48" t="s">
        <v>20</v>
      </c>
    </row>
    <row r="12" ht="15" customHeight="1" spans="1:10">
      <c r="A12" s="25"/>
      <c r="B12" s="13"/>
      <c r="C12" s="26"/>
      <c r="D12" s="68"/>
      <c r="E12" s="26"/>
      <c r="F12" s="13"/>
      <c r="G12" s="28"/>
      <c r="H12" s="25">
        <v>42867</v>
      </c>
      <c r="I12" s="13">
        <v>1090000</v>
      </c>
      <c r="J12" s="48" t="s">
        <v>20</v>
      </c>
    </row>
    <row r="13" ht="15" customHeight="1" spans="1:10">
      <c r="A13" s="25"/>
      <c r="B13" s="13"/>
      <c r="C13" s="26"/>
      <c r="D13" s="68"/>
      <c r="E13" s="26"/>
      <c r="F13" s="13"/>
      <c r="G13" s="28"/>
      <c r="H13" s="25">
        <v>42919</v>
      </c>
      <c r="I13" s="13">
        <v>666000</v>
      </c>
      <c r="J13" s="48" t="s">
        <v>20</v>
      </c>
    </row>
    <row r="14" ht="15" customHeight="1" spans="1:10">
      <c r="A14" s="25"/>
      <c r="B14" s="13"/>
      <c r="C14" s="26"/>
      <c r="D14" s="68"/>
      <c r="E14" s="26"/>
      <c r="F14" s="13"/>
      <c r="G14" s="28"/>
      <c r="H14" s="25">
        <v>42936</v>
      </c>
      <c r="I14" s="13">
        <v>1104000</v>
      </c>
      <c r="J14" s="48" t="s">
        <v>20</v>
      </c>
    </row>
    <row r="15" ht="15" customHeight="1" spans="1:10">
      <c r="A15" s="25"/>
      <c r="B15" s="13"/>
      <c r="C15" s="26"/>
      <c r="D15" s="68"/>
      <c r="E15" s="26"/>
      <c r="F15" s="13"/>
      <c r="G15" s="28"/>
      <c r="H15" s="25">
        <v>42990</v>
      </c>
      <c r="I15" s="13">
        <v>500000</v>
      </c>
      <c r="J15" s="48" t="s">
        <v>20</v>
      </c>
    </row>
    <row r="16" ht="15" customHeight="1" spans="1:10">
      <c r="A16" s="25"/>
      <c r="B16" s="13"/>
      <c r="C16" s="26"/>
      <c r="D16" s="68"/>
      <c r="E16" s="26"/>
      <c r="F16" s="13"/>
      <c r="G16" s="28"/>
      <c r="H16" s="25">
        <v>43007</v>
      </c>
      <c r="I16" s="13">
        <v>570000</v>
      </c>
      <c r="J16" s="48" t="s">
        <v>20</v>
      </c>
    </row>
    <row r="17" ht="15" customHeight="1" spans="1:10">
      <c r="A17" s="25"/>
      <c r="B17" s="13"/>
      <c r="C17" s="26"/>
      <c r="D17" s="68"/>
      <c r="E17" s="26"/>
      <c r="F17" s="13"/>
      <c r="G17" s="28"/>
      <c r="H17" s="25">
        <v>43040</v>
      </c>
      <c r="I17" s="13">
        <v>250000</v>
      </c>
      <c r="J17" s="48" t="s">
        <v>20</v>
      </c>
    </row>
    <row r="18" ht="15" customHeight="1" spans="1:10">
      <c r="A18" s="25"/>
      <c r="B18" s="13"/>
      <c r="C18" s="26"/>
      <c r="D18" s="68"/>
      <c r="E18" s="26"/>
      <c r="F18" s="13"/>
      <c r="G18" s="28"/>
      <c r="H18" s="25">
        <v>43054</v>
      </c>
      <c r="I18" s="13">
        <v>1500000</v>
      </c>
      <c r="J18" s="48" t="s">
        <v>20</v>
      </c>
    </row>
    <row r="19" ht="15" customHeight="1" spans="1:10">
      <c r="A19" s="25"/>
      <c r="B19" s="13"/>
      <c r="C19" s="26"/>
      <c r="D19" s="68"/>
      <c r="E19" s="26"/>
      <c r="F19" s="13"/>
      <c r="G19" s="28"/>
      <c r="H19" s="25">
        <v>43084</v>
      </c>
      <c r="I19" s="13">
        <v>1000000</v>
      </c>
      <c r="J19" s="48" t="s">
        <v>20</v>
      </c>
    </row>
    <row r="20" ht="15" customHeight="1" spans="1:10">
      <c r="A20" s="25"/>
      <c r="B20" s="13"/>
      <c r="C20" s="26"/>
      <c r="D20" s="68"/>
      <c r="E20" s="26"/>
      <c r="F20" s="13"/>
      <c r="G20" s="28"/>
      <c r="H20" s="25">
        <v>43118</v>
      </c>
      <c r="I20" s="13">
        <v>1800000</v>
      </c>
      <c r="J20" s="48" t="s">
        <v>20</v>
      </c>
    </row>
    <row r="21" ht="15" customHeight="1" spans="1:10">
      <c r="A21" s="25"/>
      <c r="B21" s="13"/>
      <c r="C21" s="26"/>
      <c r="D21" s="68"/>
      <c r="E21" s="26"/>
      <c r="F21" s="13"/>
      <c r="G21" s="28"/>
      <c r="H21" s="25">
        <v>43143</v>
      </c>
      <c r="I21" s="13">
        <v>2000000</v>
      </c>
      <c r="J21" s="48" t="s">
        <v>20</v>
      </c>
    </row>
    <row r="22" ht="15" customHeight="1" spans="1:10">
      <c r="A22" s="25"/>
      <c r="B22" s="13"/>
      <c r="C22" s="26"/>
      <c r="D22" s="68"/>
      <c r="E22" s="26"/>
      <c r="F22" s="13"/>
      <c r="G22" s="28"/>
      <c r="H22" s="25">
        <v>43218</v>
      </c>
      <c r="I22" s="13">
        <v>300000</v>
      </c>
      <c r="J22" s="48" t="s">
        <v>20</v>
      </c>
    </row>
    <row r="23" ht="15" customHeight="1" spans="1:10">
      <c r="A23" s="25"/>
      <c r="B23" s="13"/>
      <c r="C23" s="26"/>
      <c r="D23" s="68"/>
      <c r="E23" s="26"/>
      <c r="F23" s="13"/>
      <c r="G23" s="28"/>
      <c r="H23" s="25">
        <v>43231</v>
      </c>
      <c r="I23" s="13">
        <v>400000</v>
      </c>
      <c r="J23" s="48" t="s">
        <v>20</v>
      </c>
    </row>
    <row r="24" ht="15" customHeight="1" spans="1:10">
      <c r="A24" s="25"/>
      <c r="B24" s="13"/>
      <c r="C24" s="26"/>
      <c r="D24" s="68"/>
      <c r="E24" s="26"/>
      <c r="F24" s="13"/>
      <c r="G24" s="28"/>
      <c r="H24" s="25">
        <v>43237</v>
      </c>
      <c r="I24" s="13">
        <v>850000</v>
      </c>
      <c r="J24" s="48" t="s">
        <v>20</v>
      </c>
    </row>
    <row r="25" ht="15" customHeight="1" spans="1:10">
      <c r="A25" s="25"/>
      <c r="B25" s="13"/>
      <c r="C25" s="26"/>
      <c r="D25" s="68"/>
      <c r="E25" s="26"/>
      <c r="F25" s="13"/>
      <c r="G25" s="28"/>
      <c r="H25" s="25">
        <v>43255</v>
      </c>
      <c r="I25" s="13">
        <v>800000</v>
      </c>
      <c r="J25" s="48" t="s">
        <v>20</v>
      </c>
    </row>
    <row r="26" ht="15" customHeight="1" spans="1:10">
      <c r="A26" s="25"/>
      <c r="B26" s="13"/>
      <c r="C26" s="26"/>
      <c r="D26" s="68"/>
      <c r="E26" s="26"/>
      <c r="F26" s="13"/>
      <c r="G26" s="28"/>
      <c r="H26" s="25">
        <v>43285</v>
      </c>
      <c r="I26" s="13">
        <v>1500000</v>
      </c>
      <c r="J26" s="48" t="s">
        <v>20</v>
      </c>
    </row>
    <row r="27" ht="15" customHeight="1" spans="1:10">
      <c r="A27" s="25"/>
      <c r="B27" s="13"/>
      <c r="C27" s="26"/>
      <c r="D27" s="68"/>
      <c r="E27" s="26"/>
      <c r="F27" s="13"/>
      <c r="G27" s="28"/>
      <c r="H27" s="25">
        <v>43315</v>
      </c>
      <c r="I27" s="13">
        <v>820000</v>
      </c>
      <c r="J27" s="48" t="s">
        <v>20</v>
      </c>
    </row>
    <row r="28" ht="15" customHeight="1" spans="1:10">
      <c r="A28" s="25"/>
      <c r="B28" s="13"/>
      <c r="C28" s="26"/>
      <c r="D28" s="68"/>
      <c r="E28" s="26"/>
      <c r="F28" s="13"/>
      <c r="G28" s="28"/>
      <c r="H28" s="25">
        <v>43362</v>
      </c>
      <c r="I28" s="13">
        <v>300000</v>
      </c>
      <c r="J28" s="48" t="s">
        <v>20</v>
      </c>
    </row>
    <row r="29" ht="15" customHeight="1" spans="1:10">
      <c r="A29" s="25"/>
      <c r="B29" s="13"/>
      <c r="C29" s="26"/>
      <c r="D29" s="68"/>
      <c r="E29" s="26"/>
      <c r="F29" s="13"/>
      <c r="G29" s="28"/>
      <c r="H29" s="25">
        <v>43420</v>
      </c>
      <c r="I29" s="13">
        <v>200000</v>
      </c>
      <c r="J29" s="48" t="s">
        <v>20</v>
      </c>
    </row>
    <row r="30" ht="15" customHeight="1" spans="1:10">
      <c r="A30" s="25"/>
      <c r="B30" s="13"/>
      <c r="C30" s="26"/>
      <c r="D30" s="68"/>
      <c r="E30" s="26"/>
      <c r="F30" s="13"/>
      <c r="G30" s="28"/>
      <c r="H30" s="25">
        <v>43469</v>
      </c>
      <c r="I30" s="13">
        <v>200000</v>
      </c>
      <c r="J30" s="48" t="s">
        <v>20</v>
      </c>
    </row>
    <row r="31" ht="15" customHeight="1" spans="1:10">
      <c r="A31" s="25"/>
      <c r="B31" s="13"/>
      <c r="C31" s="26"/>
      <c r="D31" s="68"/>
      <c r="E31" s="26"/>
      <c r="F31" s="13"/>
      <c r="G31" s="28"/>
      <c r="H31" s="25">
        <v>43497</v>
      </c>
      <c r="I31" s="13">
        <v>3000000</v>
      </c>
      <c r="J31" s="48" t="s">
        <v>20</v>
      </c>
    </row>
    <row r="32" ht="15" customHeight="1" spans="1:10">
      <c r="A32" s="25"/>
      <c r="B32" s="13"/>
      <c r="C32" s="26"/>
      <c r="D32" s="68"/>
      <c r="E32" s="26"/>
      <c r="F32" s="13"/>
      <c r="G32" s="28"/>
      <c r="H32" s="25">
        <v>43594</v>
      </c>
      <c r="I32" s="13">
        <v>1500000</v>
      </c>
      <c r="J32" s="48" t="s">
        <v>91</v>
      </c>
    </row>
    <row r="33" ht="15" customHeight="1" spans="1:10">
      <c r="A33" s="29"/>
      <c r="B33" s="30"/>
      <c r="C33" s="31"/>
      <c r="D33" s="31"/>
      <c r="E33" s="31"/>
      <c r="F33" s="33"/>
      <c r="G33" s="31"/>
      <c r="H33" s="34"/>
      <c r="I33" s="31">
        <v>24060000</v>
      </c>
      <c r="J33" s="34"/>
    </row>
    <row r="34" ht="15" customHeight="1" spans="1:11">
      <c r="A34" s="21" t="s">
        <v>24</v>
      </c>
      <c r="B34" s="54"/>
      <c r="I34" s="72"/>
      <c r="J34" s="19"/>
      <c r="K34" s="19"/>
    </row>
    <row r="35" ht="15" customHeight="1" spans="1:11">
      <c r="A35" s="35" t="s">
        <v>92</v>
      </c>
      <c r="B35" s="22" t="s">
        <v>26</v>
      </c>
      <c r="C35" s="22" t="s">
        <v>27</v>
      </c>
      <c r="D35" s="22" t="s">
        <v>28</v>
      </c>
      <c r="E35" s="22" t="s">
        <v>15</v>
      </c>
      <c r="F35" s="22" t="s">
        <v>29</v>
      </c>
      <c r="G35" s="22" t="s">
        <v>13</v>
      </c>
      <c r="H35" s="22" t="s">
        <v>30</v>
      </c>
      <c r="I35" s="73" t="s">
        <v>31</v>
      </c>
      <c r="J35" s="22" t="s">
        <v>19</v>
      </c>
      <c r="K35" s="59" t="s">
        <v>32</v>
      </c>
    </row>
    <row r="36" ht="15" customHeight="1" spans="1:11">
      <c r="A36" s="35"/>
      <c r="B36" s="22"/>
      <c r="C36" s="22"/>
      <c r="D36" s="22"/>
      <c r="E36" s="22"/>
      <c r="F36" s="22"/>
      <c r="G36" s="22"/>
      <c r="H36" s="22"/>
      <c r="I36" s="22">
        <v>6470450</v>
      </c>
      <c r="J36" s="22"/>
      <c r="K36" s="59" t="s">
        <v>42</v>
      </c>
    </row>
    <row r="37" ht="15" customHeight="1" spans="1:11">
      <c r="A37" s="35"/>
      <c r="B37" s="22"/>
      <c r="C37" s="22"/>
      <c r="D37" s="22"/>
      <c r="E37" s="22"/>
      <c r="F37" s="22"/>
      <c r="G37" s="22"/>
      <c r="H37" s="22"/>
      <c r="I37" s="22">
        <v>3762200</v>
      </c>
      <c r="J37" s="22"/>
      <c r="K37" s="59" t="s">
        <v>42</v>
      </c>
    </row>
    <row r="38" ht="15" customHeight="1" spans="1:11">
      <c r="A38" s="12"/>
      <c r="B38" s="37"/>
      <c r="C38" s="38"/>
      <c r="D38" s="39"/>
      <c r="E38" s="69"/>
      <c r="F38" s="37"/>
      <c r="G38" s="70"/>
      <c r="H38" s="25">
        <v>43144</v>
      </c>
      <c r="I38" s="31">
        <v>1180970.58</v>
      </c>
      <c r="J38" s="48" t="s">
        <v>20</v>
      </c>
      <c r="K38" s="74" t="s">
        <v>38</v>
      </c>
    </row>
    <row r="39" ht="15" customHeight="1" spans="1:11">
      <c r="A39" s="12"/>
      <c r="B39" s="37"/>
      <c r="C39" s="38"/>
      <c r="D39" s="39"/>
      <c r="E39" s="69"/>
      <c r="F39" s="37"/>
      <c r="G39" s="70"/>
      <c r="H39" s="25">
        <v>43218</v>
      </c>
      <c r="I39" s="31">
        <v>290500</v>
      </c>
      <c r="J39" s="48" t="s">
        <v>20</v>
      </c>
      <c r="K39" s="74" t="s">
        <v>38</v>
      </c>
    </row>
    <row r="40" ht="15" customHeight="1" spans="1:11">
      <c r="A40" s="12"/>
      <c r="B40" s="37"/>
      <c r="C40" s="38"/>
      <c r="D40" s="39"/>
      <c r="E40" s="69"/>
      <c r="F40" s="37"/>
      <c r="G40" s="70"/>
      <c r="H40" s="25">
        <v>43235</v>
      </c>
      <c r="I40" s="31">
        <v>394000</v>
      </c>
      <c r="J40" s="48" t="s">
        <v>20</v>
      </c>
      <c r="K40" s="74" t="s">
        <v>38</v>
      </c>
    </row>
    <row r="41" ht="15" customHeight="1" spans="1:11">
      <c r="A41" s="12"/>
      <c r="B41" s="37"/>
      <c r="C41" s="38"/>
      <c r="D41" s="39"/>
      <c r="E41" s="69"/>
      <c r="F41" s="37"/>
      <c r="G41" s="70"/>
      <c r="H41" s="25">
        <v>43241</v>
      </c>
      <c r="I41" s="31">
        <v>837250</v>
      </c>
      <c r="J41" s="48" t="s">
        <v>20</v>
      </c>
      <c r="K41" s="74" t="s">
        <v>38</v>
      </c>
    </row>
    <row r="42" ht="15" customHeight="1" spans="1:11">
      <c r="A42" s="12"/>
      <c r="B42" s="37"/>
      <c r="C42" s="38"/>
      <c r="D42" s="39"/>
      <c r="E42" s="69"/>
      <c r="F42" s="37"/>
      <c r="G42" s="70"/>
      <c r="H42" s="25">
        <v>43256</v>
      </c>
      <c r="I42" s="31">
        <v>478250</v>
      </c>
      <c r="J42" s="48" t="s">
        <v>20</v>
      </c>
      <c r="K42" s="74" t="s">
        <v>38</v>
      </c>
    </row>
    <row r="43" ht="15" customHeight="1" spans="1:11">
      <c r="A43" s="12"/>
      <c r="B43" s="37"/>
      <c r="C43" s="38"/>
      <c r="D43" s="39"/>
      <c r="E43" s="69"/>
      <c r="F43" s="37"/>
      <c r="G43" s="70"/>
      <c r="H43" s="25">
        <v>43256</v>
      </c>
      <c r="I43" s="31">
        <v>52750</v>
      </c>
      <c r="J43" s="48" t="s">
        <v>20</v>
      </c>
      <c r="K43" s="74" t="s">
        <v>96</v>
      </c>
    </row>
    <row r="44" ht="15" customHeight="1" spans="1:11">
      <c r="A44" s="12"/>
      <c r="B44" s="37"/>
      <c r="C44" s="38"/>
      <c r="D44" s="39"/>
      <c r="E44" s="69"/>
      <c r="F44" s="37"/>
      <c r="G44" s="70"/>
      <c r="H44" s="25">
        <v>43287</v>
      </c>
      <c r="I44" s="31">
        <v>1477500</v>
      </c>
      <c r="J44" s="48" t="s">
        <v>20</v>
      </c>
      <c r="K44" s="74" t="s">
        <v>96</v>
      </c>
    </row>
    <row r="45" ht="15" customHeight="1" spans="1:11">
      <c r="A45" s="12"/>
      <c r="B45" s="37"/>
      <c r="C45" s="38"/>
      <c r="D45" s="39"/>
      <c r="E45" s="69"/>
      <c r="F45" s="37"/>
      <c r="G45" s="70"/>
      <c r="H45" s="25">
        <v>43318</v>
      </c>
      <c r="I45" s="31">
        <v>807700</v>
      </c>
      <c r="J45" s="48" t="s">
        <v>20</v>
      </c>
      <c r="K45" s="74" t="s">
        <v>96</v>
      </c>
    </row>
    <row r="46" ht="15" customHeight="1" spans="1:11">
      <c r="A46" s="12"/>
      <c r="B46" s="37"/>
      <c r="C46" s="38"/>
      <c r="D46" s="39"/>
      <c r="E46" s="69"/>
      <c r="F46" s="37"/>
      <c r="G46" s="28"/>
      <c r="H46" s="25"/>
      <c r="I46" s="13"/>
      <c r="J46" s="48"/>
      <c r="K46" s="74" t="s">
        <v>43</v>
      </c>
    </row>
    <row r="47" ht="15" customHeight="1" spans="1:11">
      <c r="A47" s="12"/>
      <c r="B47" s="37"/>
      <c r="C47" s="38"/>
      <c r="D47" s="39"/>
      <c r="E47" s="69"/>
      <c r="F47" s="37"/>
      <c r="G47" s="28"/>
      <c r="H47" s="25">
        <v>43125</v>
      </c>
      <c r="I47" s="31">
        <v>1573000</v>
      </c>
      <c r="J47" s="48" t="s">
        <v>20</v>
      </c>
      <c r="K47" s="74" t="s">
        <v>43</v>
      </c>
    </row>
    <row r="48" ht="15" customHeight="1" spans="1:11">
      <c r="A48" s="12"/>
      <c r="B48" s="37"/>
      <c r="C48" s="38"/>
      <c r="D48" s="39"/>
      <c r="E48" s="69"/>
      <c r="F48" s="37"/>
      <c r="G48" s="28"/>
      <c r="H48" s="25">
        <v>43138</v>
      </c>
      <c r="I48" s="31">
        <v>200000</v>
      </c>
      <c r="J48" s="48" t="s">
        <v>20</v>
      </c>
      <c r="K48" s="74" t="s">
        <v>43</v>
      </c>
    </row>
    <row r="49" ht="15" customHeight="1" spans="1:11">
      <c r="A49" s="12"/>
      <c r="B49" s="37"/>
      <c r="C49" s="38"/>
      <c r="D49" s="39"/>
      <c r="E49" s="69"/>
      <c r="F49" s="37"/>
      <c r="G49" s="28"/>
      <c r="H49" s="25">
        <v>43144</v>
      </c>
      <c r="I49" s="31">
        <v>789029.42</v>
      </c>
      <c r="J49" s="48" t="s">
        <v>20</v>
      </c>
      <c r="K49" s="74" t="s">
        <v>43</v>
      </c>
    </row>
    <row r="50" ht="15" customHeight="1" spans="1:11">
      <c r="A50" s="12"/>
      <c r="B50" s="37"/>
      <c r="C50" s="38"/>
      <c r="D50" s="39"/>
      <c r="E50" s="69"/>
      <c r="F50" s="37"/>
      <c r="G50" s="28"/>
      <c r="H50" s="25">
        <v>43256</v>
      </c>
      <c r="I50" s="31">
        <v>257000</v>
      </c>
      <c r="J50" s="48" t="s">
        <v>20</v>
      </c>
      <c r="K50" s="74" t="s">
        <v>43</v>
      </c>
    </row>
    <row r="51" ht="15" customHeight="1" spans="1:11">
      <c r="A51" s="12"/>
      <c r="B51" s="37"/>
      <c r="C51" s="38"/>
      <c r="D51" s="39"/>
      <c r="E51" s="69"/>
      <c r="F51" s="37"/>
      <c r="G51" s="28"/>
      <c r="H51" s="25">
        <v>43363</v>
      </c>
      <c r="I51" s="31">
        <v>292500</v>
      </c>
      <c r="J51" s="48" t="s">
        <v>20</v>
      </c>
      <c r="K51" s="74" t="s">
        <v>96</v>
      </c>
    </row>
    <row r="52" ht="15" customHeight="1" spans="1:11">
      <c r="A52" s="12"/>
      <c r="B52" s="37"/>
      <c r="C52" s="38"/>
      <c r="D52" s="39"/>
      <c r="E52" s="69"/>
      <c r="F52" s="37"/>
      <c r="G52" s="28"/>
      <c r="H52" s="25">
        <v>43423</v>
      </c>
      <c r="I52" s="31">
        <v>195000</v>
      </c>
      <c r="J52" s="48" t="s">
        <v>20</v>
      </c>
      <c r="K52" s="74" t="s">
        <v>96</v>
      </c>
    </row>
    <row r="53" ht="15" customHeight="1" spans="1:11">
      <c r="A53" s="12"/>
      <c r="B53" s="37"/>
      <c r="C53" s="38"/>
      <c r="D53" s="39"/>
      <c r="E53" s="69"/>
      <c r="F53" s="37"/>
      <c r="G53" s="28"/>
      <c r="H53" s="25">
        <v>43472</v>
      </c>
      <c r="I53" s="31">
        <v>194500</v>
      </c>
      <c r="J53" s="48" t="s">
        <v>20</v>
      </c>
      <c r="K53" s="74" t="s">
        <v>96</v>
      </c>
    </row>
    <row r="54" ht="15" customHeight="1" spans="1:11">
      <c r="A54" s="12"/>
      <c r="B54" s="37"/>
      <c r="C54" s="38"/>
      <c r="D54" s="39"/>
      <c r="E54" s="69"/>
      <c r="F54" s="37"/>
      <c r="G54" s="28"/>
      <c r="H54" s="25">
        <v>43499</v>
      </c>
      <c r="I54" s="75">
        <v>895204.48</v>
      </c>
      <c r="J54" s="48" t="s">
        <v>20</v>
      </c>
      <c r="K54" s="74" t="s">
        <v>44</v>
      </c>
    </row>
    <row r="55" ht="15" customHeight="1" spans="1:11">
      <c r="A55" s="12"/>
      <c r="B55" s="37"/>
      <c r="C55" s="38"/>
      <c r="D55" s="39"/>
      <c r="E55" s="69"/>
      <c r="F55" s="37"/>
      <c r="G55" s="28"/>
      <c r="H55" s="25">
        <v>43498</v>
      </c>
      <c r="I55" s="75">
        <v>980050</v>
      </c>
      <c r="J55" s="48" t="s">
        <v>20</v>
      </c>
      <c r="K55" s="74" t="s">
        <v>96</v>
      </c>
    </row>
    <row r="56" ht="15" customHeight="1" spans="1:11">
      <c r="A56" s="12"/>
      <c r="B56" s="37"/>
      <c r="C56" s="38"/>
      <c r="D56" s="39"/>
      <c r="E56" s="69"/>
      <c r="F56" s="37"/>
      <c r="G56" s="28"/>
      <c r="H56" s="25">
        <v>43498</v>
      </c>
      <c r="I56" s="32">
        <v>1049745.52</v>
      </c>
      <c r="J56" s="48" t="s">
        <v>20</v>
      </c>
      <c r="K56" s="76" t="s">
        <v>43</v>
      </c>
    </row>
    <row r="57" ht="15" customHeight="1" spans="1:11">
      <c r="A57" s="12"/>
      <c r="B57" s="37"/>
      <c r="C57" s="38"/>
      <c r="D57" s="39"/>
      <c r="E57" s="69"/>
      <c r="F57" s="37"/>
      <c r="G57" s="28"/>
      <c r="H57" s="25">
        <v>43601</v>
      </c>
      <c r="I57" s="15">
        <v>1500000</v>
      </c>
      <c r="J57" s="48" t="s">
        <v>101</v>
      </c>
      <c r="K57" s="74" t="s">
        <v>44</v>
      </c>
    </row>
    <row r="58" ht="15" customHeight="1" spans="1:11">
      <c r="A58" s="12"/>
      <c r="B58" s="37"/>
      <c r="C58" s="38"/>
      <c r="D58" s="39"/>
      <c r="E58" s="69"/>
      <c r="F58" s="37"/>
      <c r="G58" s="28"/>
      <c r="H58" s="25">
        <v>43498</v>
      </c>
      <c r="I58" s="15"/>
      <c r="J58" s="48" t="s">
        <v>20</v>
      </c>
      <c r="K58" s="76" t="s">
        <v>44</v>
      </c>
    </row>
    <row r="59" ht="15" customHeight="1" spans="1:11">
      <c r="A59" s="12"/>
      <c r="B59" s="37"/>
      <c r="C59" s="38"/>
      <c r="D59" s="39"/>
      <c r="E59" s="69"/>
      <c r="F59" s="37"/>
      <c r="G59" s="28"/>
      <c r="H59" s="25"/>
      <c r="I59" s="13"/>
      <c r="J59" s="48"/>
      <c r="K59" s="74"/>
    </row>
    <row r="60" ht="15" customHeight="1" spans="1:11">
      <c r="A60" s="12"/>
      <c r="B60" s="37"/>
      <c r="C60" s="38"/>
      <c r="D60" s="39"/>
      <c r="E60" s="69"/>
      <c r="F60" s="37"/>
      <c r="G60" s="28"/>
      <c r="H60" s="25"/>
      <c r="I60" s="13"/>
      <c r="J60" s="48"/>
      <c r="K60" s="74"/>
    </row>
    <row r="61" ht="15" customHeight="1" spans="1:11">
      <c r="A61" s="12"/>
      <c r="B61" s="37"/>
      <c r="C61" s="38"/>
      <c r="D61" s="39"/>
      <c r="E61" s="69"/>
      <c r="F61" s="37"/>
      <c r="G61" s="28"/>
      <c r="H61" s="25"/>
      <c r="I61" s="13"/>
      <c r="J61" s="48"/>
      <c r="K61" s="74"/>
    </row>
    <row r="62" ht="15" customHeight="1" spans="1:11">
      <c r="A62" s="12"/>
      <c r="B62" s="37"/>
      <c r="C62" s="38"/>
      <c r="D62" s="39"/>
      <c r="E62" s="69"/>
      <c r="F62" s="37"/>
      <c r="G62" s="28"/>
      <c r="H62" s="25"/>
      <c r="I62" s="13"/>
      <c r="J62" s="48"/>
      <c r="K62" s="74"/>
    </row>
    <row r="63" ht="15" customHeight="1" spans="1:11">
      <c r="A63" s="12"/>
      <c r="B63" s="37"/>
      <c r="C63" s="38"/>
      <c r="D63" s="39"/>
      <c r="E63" s="69"/>
      <c r="F63" s="37"/>
      <c r="G63" s="28"/>
      <c r="H63" s="25"/>
      <c r="I63" s="13"/>
      <c r="J63" s="48"/>
      <c r="K63" s="74"/>
    </row>
    <row r="64" ht="15" customHeight="1" spans="1:11">
      <c r="A64" s="12"/>
      <c r="B64" s="37"/>
      <c r="C64" s="38"/>
      <c r="D64" s="39"/>
      <c r="E64" s="69"/>
      <c r="F64" s="37"/>
      <c r="G64" s="28"/>
      <c r="H64" s="25"/>
      <c r="I64" s="13"/>
      <c r="J64" s="48"/>
      <c r="K64" s="74"/>
    </row>
    <row r="65" ht="15" customHeight="1" spans="1:11">
      <c r="A65" s="12"/>
      <c r="B65" s="37"/>
      <c r="C65" s="38"/>
      <c r="D65" s="39"/>
      <c r="E65" s="69"/>
      <c r="F65" s="37"/>
      <c r="G65" s="28"/>
      <c r="H65" s="25"/>
      <c r="I65" s="13"/>
      <c r="J65" s="48"/>
      <c r="K65" s="74"/>
    </row>
    <row r="66" ht="15" customHeight="1" spans="1:11">
      <c r="A66" s="12"/>
      <c r="B66" s="37"/>
      <c r="C66" s="38"/>
      <c r="D66" s="39"/>
      <c r="E66" s="69"/>
      <c r="F66" s="37"/>
      <c r="G66" s="28"/>
      <c r="H66" s="25"/>
      <c r="I66" s="13"/>
      <c r="J66" s="48"/>
      <c r="K66" s="74"/>
    </row>
    <row r="67" ht="15" customHeight="1" spans="1:11">
      <c r="A67" s="31"/>
      <c r="B67" s="30"/>
      <c r="C67" s="31"/>
      <c r="D67" s="41"/>
      <c r="E67" s="41"/>
      <c r="F67" s="33"/>
      <c r="G67" s="43"/>
      <c r="H67" s="44"/>
      <c r="I67" s="31">
        <f>SUM(I36:I66)</f>
        <v>23677600</v>
      </c>
      <c r="J67" s="63"/>
      <c r="K67" s="77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20" sqref="$A20:$XFD20"/>
    </sheetView>
  </sheetViews>
  <sheetFormatPr defaultColWidth="9" defaultRowHeight="20.1" customHeight="1"/>
  <cols>
    <col min="1" max="1" width="11.5" customWidth="1"/>
    <col min="2" max="2" width="13.375" customWidth="1"/>
    <col min="3" max="3" width="6.5" customWidth="1"/>
    <col min="4" max="4" width="12.375" customWidth="1"/>
    <col min="5" max="5" width="6.375" customWidth="1"/>
    <col min="6" max="6" width="13.5" customWidth="1"/>
    <col min="7" max="7" width="14.875" customWidth="1"/>
    <col min="9" max="9" width="13" customWidth="1"/>
    <col min="10" max="10" width="7.25" customWidth="1"/>
    <col min="11" max="11" width="24.375" customWidth="1"/>
    <col min="15" max="15" width="11.375" customWidth="1"/>
  </cols>
  <sheetData>
    <row r="1" customHeight="1" spans="1:15">
      <c r="A1" s="9" t="s">
        <v>137</v>
      </c>
      <c r="B1" s="9"/>
      <c r="C1" s="9"/>
      <c r="D1" s="9"/>
      <c r="E1" s="9"/>
      <c r="F1" s="10"/>
      <c r="G1" s="10"/>
      <c r="H1" s="9"/>
      <c r="I1" s="10"/>
      <c r="J1" s="9"/>
      <c r="K1" s="1"/>
      <c r="L1" s="1"/>
      <c r="M1" s="54"/>
      <c r="N1" s="54"/>
      <c r="O1" s="54"/>
    </row>
    <row r="2" customHeight="1" spans="1:15">
      <c r="A2" s="11" t="s">
        <v>1</v>
      </c>
      <c r="B2" s="12">
        <v>42436</v>
      </c>
      <c r="C2" s="13" t="s">
        <v>2</v>
      </c>
      <c r="D2" s="13">
        <v>8013119.58</v>
      </c>
      <c r="E2" s="14" t="s">
        <v>3</v>
      </c>
      <c r="F2" s="15" t="s">
        <v>42</v>
      </c>
      <c r="G2" s="16" t="s">
        <v>4</v>
      </c>
      <c r="H2" s="17" t="s">
        <v>5</v>
      </c>
      <c r="I2" s="55"/>
      <c r="J2" s="56"/>
      <c r="K2" s="1"/>
      <c r="L2" s="1"/>
      <c r="M2" s="54"/>
      <c r="N2" s="54"/>
      <c r="O2" s="54"/>
    </row>
    <row r="3" customHeight="1" spans="1:15">
      <c r="A3" s="11" t="s">
        <v>6</v>
      </c>
      <c r="B3" s="18"/>
      <c r="C3" s="13" t="s">
        <v>7</v>
      </c>
      <c r="D3" s="13"/>
      <c r="E3" s="19"/>
      <c r="F3" s="20"/>
      <c r="G3" s="20"/>
      <c r="H3" s="1"/>
      <c r="I3" s="57"/>
      <c r="J3" s="1"/>
      <c r="K3" s="1"/>
      <c r="L3" s="1"/>
      <c r="M3" s="54"/>
      <c r="N3" s="54"/>
      <c r="O3" s="54"/>
    </row>
    <row r="4" customHeight="1" spans="1:15">
      <c r="A4" s="21" t="s">
        <v>8</v>
      </c>
      <c r="B4" s="20"/>
      <c r="C4" s="19"/>
      <c r="D4" s="19"/>
      <c r="E4" s="19"/>
      <c r="F4" s="20"/>
      <c r="G4" s="20"/>
      <c r="H4" s="1"/>
      <c r="I4" s="57"/>
      <c r="J4" s="1"/>
      <c r="K4" s="1"/>
      <c r="L4" s="1"/>
      <c r="M4" s="54"/>
      <c r="N4" s="54"/>
      <c r="O4" s="54"/>
    </row>
    <row r="5" customHeight="1" spans="1:15">
      <c r="A5" s="22" t="s">
        <v>9</v>
      </c>
      <c r="B5" s="23" t="s">
        <v>10</v>
      </c>
      <c r="C5" s="22" t="s">
        <v>11</v>
      </c>
      <c r="D5" s="22"/>
      <c r="E5" s="22" t="s">
        <v>12</v>
      </c>
      <c r="F5" s="23"/>
      <c r="G5" s="23" t="s">
        <v>13</v>
      </c>
      <c r="H5" s="24" t="s">
        <v>14</v>
      </c>
      <c r="I5" s="23"/>
      <c r="J5" s="24"/>
      <c r="K5" s="54"/>
      <c r="L5" s="54"/>
      <c r="M5" s="54"/>
      <c r="N5" s="54"/>
      <c r="O5" s="54"/>
    </row>
    <row r="6" customHeight="1" spans="1:15">
      <c r="A6" s="22"/>
      <c r="B6" s="23"/>
      <c r="C6" s="22" t="s">
        <v>15</v>
      </c>
      <c r="D6" s="22" t="s">
        <v>16</v>
      </c>
      <c r="E6" s="22" t="s">
        <v>15</v>
      </c>
      <c r="F6" s="23" t="s">
        <v>16</v>
      </c>
      <c r="G6" s="23"/>
      <c r="H6" s="24" t="s">
        <v>17</v>
      </c>
      <c r="I6" s="23" t="s">
        <v>18</v>
      </c>
      <c r="J6" s="24" t="s">
        <v>19</v>
      </c>
      <c r="K6" s="54"/>
      <c r="L6" s="54"/>
      <c r="M6" s="54"/>
      <c r="N6" s="54"/>
      <c r="O6" s="54"/>
    </row>
    <row r="7" ht="19.5" customHeight="1" spans="1:15">
      <c r="A7" s="25">
        <v>42583</v>
      </c>
      <c r="B7" s="13">
        <f>G7/(1+C7+E7)</f>
        <v>2378640.77669903</v>
      </c>
      <c r="C7" s="26"/>
      <c r="D7" s="27"/>
      <c r="E7" s="26">
        <v>0.03</v>
      </c>
      <c r="F7" s="13">
        <f>G7/(1+C7+E7)*E7</f>
        <v>71359.2233009709</v>
      </c>
      <c r="G7" s="28">
        <v>2450000</v>
      </c>
      <c r="H7" s="25">
        <v>42605</v>
      </c>
      <c r="I7" s="13">
        <v>2450000</v>
      </c>
      <c r="J7" s="48" t="s">
        <v>41</v>
      </c>
      <c r="K7" s="54"/>
      <c r="L7" s="54"/>
      <c r="M7" s="54"/>
      <c r="N7" s="54"/>
      <c r="O7" s="54"/>
    </row>
    <row r="8" ht="19.5" customHeight="1" spans="1:15">
      <c r="A8" s="25">
        <v>42626</v>
      </c>
      <c r="B8" s="13">
        <f t="shared" ref="B8:B10" si="0">G8/(1+C8+E8)</f>
        <v>291262.13592233</v>
      </c>
      <c r="C8" s="26"/>
      <c r="D8" s="27"/>
      <c r="E8" s="26">
        <v>0.03</v>
      </c>
      <c r="F8" s="13">
        <f t="shared" ref="F8:F10" si="1">G8/(1+C8+E8)*E8</f>
        <v>8737.8640776699</v>
      </c>
      <c r="G8" s="28">
        <v>300000</v>
      </c>
      <c r="H8" s="25">
        <v>42614</v>
      </c>
      <c r="I8" s="13">
        <v>300000</v>
      </c>
      <c r="J8" s="48" t="s">
        <v>41</v>
      </c>
      <c r="K8" s="54"/>
      <c r="L8" s="54"/>
      <c r="M8" s="54"/>
      <c r="N8" s="54"/>
      <c r="O8" s="54"/>
    </row>
    <row r="9" ht="19.5" customHeight="1" spans="1:15">
      <c r="A9" s="25">
        <v>42679</v>
      </c>
      <c r="B9" s="13">
        <f t="shared" si="0"/>
        <v>2718446.60194175</v>
      </c>
      <c r="C9" s="26"/>
      <c r="D9" s="27"/>
      <c r="E9" s="26">
        <v>0.03</v>
      </c>
      <c r="F9" s="13">
        <f t="shared" si="1"/>
        <v>81553.3980582524</v>
      </c>
      <c r="G9" s="28">
        <v>2800000</v>
      </c>
      <c r="H9" s="25">
        <v>42643</v>
      </c>
      <c r="I9" s="13">
        <v>2800000</v>
      </c>
      <c r="J9" s="48" t="s">
        <v>41</v>
      </c>
      <c r="K9" s="54"/>
      <c r="L9" s="54"/>
      <c r="M9" s="54"/>
      <c r="N9" s="54"/>
      <c r="O9" s="54"/>
    </row>
    <row r="10" ht="19.5" customHeight="1" spans="1:15">
      <c r="A10" s="25">
        <v>42719</v>
      </c>
      <c r="B10" s="13">
        <f t="shared" si="0"/>
        <v>194174.757281553</v>
      </c>
      <c r="C10" s="26"/>
      <c r="D10" s="27"/>
      <c r="E10" s="26">
        <v>0.03</v>
      </c>
      <c r="F10" s="13">
        <f t="shared" si="1"/>
        <v>5825.2427184466</v>
      </c>
      <c r="G10" s="28">
        <v>200000</v>
      </c>
      <c r="H10" s="25">
        <v>42712</v>
      </c>
      <c r="I10" s="13">
        <v>200000</v>
      </c>
      <c r="J10" s="48" t="s">
        <v>41</v>
      </c>
      <c r="K10" s="54"/>
      <c r="L10" s="54"/>
      <c r="M10" s="54"/>
      <c r="N10" s="54"/>
      <c r="O10" s="54"/>
    </row>
    <row r="11" customHeight="1" spans="1:15">
      <c r="A11" s="25">
        <v>42753</v>
      </c>
      <c r="B11" s="13">
        <f t="shared" ref="B11:B17" si="2">G11/(1+C11+E11)</f>
        <v>485436.893203883</v>
      </c>
      <c r="C11" s="26"/>
      <c r="D11" s="27"/>
      <c r="E11" s="26">
        <v>0.03</v>
      </c>
      <c r="F11" s="13">
        <f t="shared" ref="F11:F13" si="3">G11/(1+C11+E11)*E11</f>
        <v>14563.1067961165</v>
      </c>
      <c r="G11" s="28">
        <v>500000</v>
      </c>
      <c r="H11" s="25">
        <v>42755</v>
      </c>
      <c r="I11" s="13">
        <v>900000</v>
      </c>
      <c r="J11" s="48" t="s">
        <v>41</v>
      </c>
      <c r="K11" s="54"/>
      <c r="L11" s="54"/>
      <c r="M11" s="54"/>
      <c r="N11" s="54"/>
      <c r="O11" s="54"/>
    </row>
    <row r="12" customHeight="1" spans="1:15">
      <c r="A12" s="25">
        <v>42851</v>
      </c>
      <c r="B12" s="13">
        <f t="shared" si="2"/>
        <v>97087.3786407767</v>
      </c>
      <c r="C12" s="26"/>
      <c r="D12" s="27"/>
      <c r="E12" s="26">
        <v>0.03</v>
      </c>
      <c r="F12" s="13">
        <f t="shared" si="3"/>
        <v>2912.6213592233</v>
      </c>
      <c r="G12" s="28">
        <v>100000</v>
      </c>
      <c r="H12" s="25">
        <v>42760</v>
      </c>
      <c r="I12" s="13">
        <v>100000</v>
      </c>
      <c r="J12" s="48" t="s">
        <v>41</v>
      </c>
      <c r="K12" s="54"/>
      <c r="L12" s="54"/>
      <c r="M12" s="54"/>
      <c r="N12" s="54"/>
      <c r="O12" s="54"/>
    </row>
    <row r="13" customHeight="1" spans="1:15">
      <c r="A13" s="25">
        <v>43138</v>
      </c>
      <c r="B13" s="13">
        <f t="shared" si="2"/>
        <v>4385336.51456311</v>
      </c>
      <c r="C13" s="26"/>
      <c r="D13" s="27"/>
      <c r="E13" s="26">
        <v>0.03</v>
      </c>
      <c r="F13" s="13">
        <f t="shared" si="3"/>
        <v>131560.095436893</v>
      </c>
      <c r="G13" s="28">
        <v>4516896.61</v>
      </c>
      <c r="H13" s="25">
        <v>43140</v>
      </c>
      <c r="I13" s="13">
        <v>3000000</v>
      </c>
      <c r="J13" s="48" t="s">
        <v>41</v>
      </c>
      <c r="K13" s="54"/>
      <c r="L13" s="54"/>
      <c r="M13" s="54"/>
      <c r="N13" s="54"/>
      <c r="O13" s="54"/>
    </row>
    <row r="14" customHeight="1" spans="1:15">
      <c r="A14" s="25"/>
      <c r="B14" s="13">
        <f t="shared" si="2"/>
        <v>0</v>
      </c>
      <c r="C14" s="26"/>
      <c r="D14" s="27"/>
      <c r="E14" s="26">
        <v>0.03</v>
      </c>
      <c r="F14" s="13">
        <f t="shared" ref="F14:F17" si="4">G14/(1+C14+E14)*E14</f>
        <v>0</v>
      </c>
      <c r="G14" s="28"/>
      <c r="H14" s="25"/>
      <c r="I14" s="13"/>
      <c r="J14" s="48"/>
      <c r="K14" s="54"/>
      <c r="L14" s="54"/>
      <c r="M14" s="54"/>
      <c r="N14" s="54"/>
      <c r="O14" s="54"/>
    </row>
    <row r="15" customHeight="1" spans="1:15">
      <c r="A15" s="25"/>
      <c r="B15" s="13">
        <f t="shared" si="2"/>
        <v>0</v>
      </c>
      <c r="C15" s="26"/>
      <c r="D15" s="27"/>
      <c r="E15" s="26">
        <v>0.03</v>
      </c>
      <c r="F15" s="13">
        <f t="shared" si="4"/>
        <v>0</v>
      </c>
      <c r="G15" s="28"/>
      <c r="H15" s="25"/>
      <c r="I15" s="13"/>
      <c r="J15" s="48"/>
      <c r="K15" s="54"/>
      <c r="L15" s="54"/>
      <c r="M15" s="54"/>
      <c r="N15" s="54"/>
      <c r="O15" s="54"/>
    </row>
    <row r="16" customHeight="1" spans="1:15">
      <c r="A16" s="25"/>
      <c r="B16" s="13">
        <f t="shared" si="2"/>
        <v>0</v>
      </c>
      <c r="C16" s="26"/>
      <c r="D16" s="27"/>
      <c r="E16" s="26">
        <v>0.03</v>
      </c>
      <c r="F16" s="13">
        <f t="shared" si="4"/>
        <v>0</v>
      </c>
      <c r="G16" s="28"/>
      <c r="H16" s="25"/>
      <c r="I16" s="13"/>
      <c r="J16" s="48"/>
      <c r="K16" s="54"/>
      <c r="L16" s="54"/>
      <c r="M16" s="54"/>
      <c r="N16" s="54"/>
      <c r="O16" s="54"/>
    </row>
    <row r="17" customHeight="1" spans="1:15">
      <c r="A17" s="25"/>
      <c r="B17" s="13">
        <f t="shared" si="2"/>
        <v>0</v>
      </c>
      <c r="C17" s="26"/>
      <c r="D17" s="27">
        <f t="shared" ref="D17" si="5">G17/(1+E17+C17)*C17</f>
        <v>0</v>
      </c>
      <c r="E17" s="26">
        <v>0.03</v>
      </c>
      <c r="F17" s="13">
        <f t="shared" si="4"/>
        <v>0</v>
      </c>
      <c r="G17" s="28"/>
      <c r="H17" s="25"/>
      <c r="I17" s="13"/>
      <c r="J17" s="48"/>
      <c r="K17" s="54"/>
      <c r="L17" s="54"/>
      <c r="M17" s="54"/>
      <c r="N17" s="54"/>
      <c r="O17" s="54"/>
    </row>
    <row r="18" customHeight="1" spans="1:15">
      <c r="A18" s="29" t="s">
        <v>23</v>
      </c>
      <c r="B18" s="30">
        <f>SUM(B7:B17)</f>
        <v>10550385.0582524</v>
      </c>
      <c r="C18" s="31"/>
      <c r="D18" s="32">
        <f t="shared" ref="D18:G18" si="6">SUM(D7:D17)</f>
        <v>0</v>
      </c>
      <c r="E18" s="31"/>
      <c r="F18" s="33">
        <f t="shared" si="6"/>
        <v>316511.551747573</v>
      </c>
      <c r="G18" s="31">
        <f t="shared" si="6"/>
        <v>10866896.61</v>
      </c>
      <c r="H18" s="34"/>
      <c r="I18" s="31">
        <f>SUM(I7:I17)</f>
        <v>9750000</v>
      </c>
      <c r="J18" s="34"/>
      <c r="K18" s="54"/>
      <c r="L18" s="54"/>
      <c r="M18" s="54"/>
      <c r="N18" s="54"/>
      <c r="O18" s="54"/>
    </row>
    <row r="19" customHeight="1" spans="1:15">
      <c r="A19" s="21" t="s">
        <v>24</v>
      </c>
      <c r="B19" s="20"/>
      <c r="C19" s="19"/>
      <c r="D19" s="19"/>
      <c r="E19" s="19"/>
      <c r="F19" s="20"/>
      <c r="G19" s="20"/>
      <c r="H19" s="19"/>
      <c r="I19" s="20"/>
      <c r="J19" s="19"/>
      <c r="K19" s="19"/>
      <c r="L19" s="58"/>
      <c r="M19" s="54"/>
      <c r="N19" s="54"/>
      <c r="O19" s="54"/>
    </row>
    <row r="20" customHeight="1" spans="1:15">
      <c r="A20" s="35" t="s">
        <v>25</v>
      </c>
      <c r="B20" s="23" t="s">
        <v>26</v>
      </c>
      <c r="C20" s="22" t="s">
        <v>27</v>
      </c>
      <c r="D20" s="22" t="s">
        <v>28</v>
      </c>
      <c r="E20" s="22" t="s">
        <v>15</v>
      </c>
      <c r="F20" s="23" t="s">
        <v>29</v>
      </c>
      <c r="G20" s="23" t="s">
        <v>13</v>
      </c>
      <c r="H20" s="22" t="s">
        <v>30</v>
      </c>
      <c r="I20" s="23" t="s">
        <v>31</v>
      </c>
      <c r="J20" s="22" t="s">
        <v>19</v>
      </c>
      <c r="K20" s="59" t="s">
        <v>32</v>
      </c>
      <c r="L20" s="24" t="s">
        <v>33</v>
      </c>
      <c r="M20" s="24" t="s">
        <v>34</v>
      </c>
      <c r="N20" s="24" t="s">
        <v>35</v>
      </c>
      <c r="O20" s="24" t="s">
        <v>36</v>
      </c>
    </row>
    <row r="21" customHeight="1" spans="1:15">
      <c r="A21" s="36">
        <v>43149</v>
      </c>
      <c r="B21" s="37">
        <f>ROUND(G21/(1+E21),2)</f>
        <v>4000000</v>
      </c>
      <c r="C21" s="38"/>
      <c r="D21" s="39"/>
      <c r="E21" s="40"/>
      <c r="F21" s="18">
        <f>ROUND(G21/(1+E21)*E21,2)</f>
        <v>0</v>
      </c>
      <c r="G21" s="28">
        <v>4000000</v>
      </c>
      <c r="H21" s="25">
        <v>43142</v>
      </c>
      <c r="I21" s="13">
        <v>2950254.48</v>
      </c>
      <c r="J21" s="48" t="s">
        <v>20</v>
      </c>
      <c r="K21" s="60" t="s">
        <v>43</v>
      </c>
      <c r="L21" s="61"/>
      <c r="M21" s="62"/>
      <c r="N21" s="62"/>
      <c r="O21" s="61" t="s">
        <v>40</v>
      </c>
    </row>
    <row r="22" customHeight="1" spans="1:15">
      <c r="A22" s="36"/>
      <c r="B22" s="37">
        <f t="shared" ref="B22:B34" si="7">ROUND(G22/(1+E22),2)</f>
        <v>0</v>
      </c>
      <c r="C22" s="38"/>
      <c r="D22" s="39"/>
      <c r="E22" s="40"/>
      <c r="F22" s="18">
        <f t="shared" ref="F22:F34" si="8">ROUND(G22/(1+E22)*E22,2)</f>
        <v>0</v>
      </c>
      <c r="G22" s="28"/>
      <c r="H22" s="25">
        <v>42611</v>
      </c>
      <c r="I22" s="13">
        <v>2208972.82</v>
      </c>
      <c r="J22" s="48" t="s">
        <v>41</v>
      </c>
      <c r="K22" s="60" t="s">
        <v>42</v>
      </c>
      <c r="L22" s="61"/>
      <c r="M22" s="62"/>
      <c r="N22" s="62"/>
      <c r="O22" s="61"/>
    </row>
    <row r="23" customHeight="1" spans="1:15">
      <c r="A23" s="36"/>
      <c r="B23" s="37">
        <f t="shared" si="7"/>
        <v>0</v>
      </c>
      <c r="C23" s="38"/>
      <c r="D23" s="39"/>
      <c r="E23" s="40"/>
      <c r="F23" s="18">
        <f t="shared" si="8"/>
        <v>0</v>
      </c>
      <c r="G23" s="28"/>
      <c r="H23" s="25">
        <v>42626</v>
      </c>
      <c r="I23" s="13">
        <v>256850.43</v>
      </c>
      <c r="J23" s="48" t="s">
        <v>41</v>
      </c>
      <c r="K23" s="60" t="s">
        <v>42</v>
      </c>
      <c r="L23" s="61"/>
      <c r="M23" s="62"/>
      <c r="N23" s="62"/>
      <c r="O23" s="61"/>
    </row>
    <row r="24" customHeight="1" spans="1:15">
      <c r="A24" s="36"/>
      <c r="B24" s="37">
        <f t="shared" si="7"/>
        <v>0</v>
      </c>
      <c r="C24" s="38"/>
      <c r="D24" s="39"/>
      <c r="E24" s="40"/>
      <c r="F24" s="18">
        <f t="shared" si="8"/>
        <v>0</v>
      </c>
      <c r="G24" s="28"/>
      <c r="H24" s="25">
        <v>42655</v>
      </c>
      <c r="I24" s="13">
        <v>2748368.93</v>
      </c>
      <c r="J24" s="48" t="s">
        <v>41</v>
      </c>
      <c r="K24" s="60" t="s">
        <v>42</v>
      </c>
      <c r="L24" s="61"/>
      <c r="M24" s="62"/>
      <c r="N24" s="62"/>
      <c r="O24" s="61"/>
    </row>
    <row r="25" customHeight="1" spans="1:15">
      <c r="A25" s="36"/>
      <c r="B25" s="37">
        <f t="shared" si="7"/>
        <v>0</v>
      </c>
      <c r="C25" s="38"/>
      <c r="D25" s="39"/>
      <c r="E25" s="40"/>
      <c r="F25" s="18">
        <f t="shared" si="8"/>
        <v>0</v>
      </c>
      <c r="G25" s="28"/>
      <c r="H25" s="25">
        <v>42677</v>
      </c>
      <c r="I25" s="13">
        <v>50000</v>
      </c>
      <c r="J25" s="48" t="s">
        <v>41</v>
      </c>
      <c r="K25" s="60" t="s">
        <v>42</v>
      </c>
      <c r="L25" s="61"/>
      <c r="M25" s="62"/>
      <c r="N25" s="62"/>
      <c r="O25" s="61"/>
    </row>
    <row r="26" customHeight="1" spans="1:15">
      <c r="A26" s="36"/>
      <c r="B26" s="37">
        <f t="shared" si="7"/>
        <v>0</v>
      </c>
      <c r="C26" s="38"/>
      <c r="D26" s="39"/>
      <c r="E26" s="40"/>
      <c r="F26" s="18">
        <f t="shared" si="8"/>
        <v>0</v>
      </c>
      <c r="G26" s="28"/>
      <c r="H26" s="25">
        <v>42719</v>
      </c>
      <c r="I26" s="13">
        <v>194658.31</v>
      </c>
      <c r="J26" s="48" t="s">
        <v>41</v>
      </c>
      <c r="K26" s="60" t="s">
        <v>42</v>
      </c>
      <c r="L26" s="61"/>
      <c r="M26" s="62"/>
      <c r="N26" s="62"/>
      <c r="O26" s="61"/>
    </row>
    <row r="27" customHeight="1" spans="1:15">
      <c r="A27" s="36"/>
      <c r="B27" s="37">
        <f t="shared" si="7"/>
        <v>0</v>
      </c>
      <c r="C27" s="38"/>
      <c r="D27" s="39"/>
      <c r="E27" s="40"/>
      <c r="F27" s="18">
        <f t="shared" si="8"/>
        <v>0</v>
      </c>
      <c r="G27" s="28"/>
      <c r="H27" s="25">
        <v>42758</v>
      </c>
      <c r="I27" s="13">
        <v>886179.73</v>
      </c>
      <c r="J27" s="48" t="s">
        <v>41</v>
      </c>
      <c r="K27" s="60" t="s">
        <v>42</v>
      </c>
      <c r="L27" s="61"/>
      <c r="M27" s="62"/>
      <c r="N27" s="62"/>
      <c r="O27" s="61"/>
    </row>
    <row r="28" customHeight="1" spans="1:15">
      <c r="A28" s="36"/>
      <c r="B28" s="37">
        <f t="shared" si="7"/>
        <v>0</v>
      </c>
      <c r="C28" s="38"/>
      <c r="D28" s="39"/>
      <c r="E28" s="40"/>
      <c r="F28" s="18">
        <f t="shared" si="8"/>
        <v>0</v>
      </c>
      <c r="G28" s="28"/>
      <c r="H28" s="25">
        <v>42761</v>
      </c>
      <c r="I28" s="13">
        <v>98500</v>
      </c>
      <c r="J28" s="48" t="s">
        <v>41</v>
      </c>
      <c r="K28" s="60" t="s">
        <v>42</v>
      </c>
      <c r="L28" s="61"/>
      <c r="M28" s="62"/>
      <c r="N28" s="62"/>
      <c r="O28" s="61"/>
    </row>
    <row r="29" customHeight="1" spans="1:15">
      <c r="A29" s="36"/>
      <c r="B29" s="37"/>
      <c r="C29" s="38"/>
      <c r="D29" s="39"/>
      <c r="E29" s="40"/>
      <c r="F29" s="18"/>
      <c r="G29" s="28"/>
      <c r="H29" s="25">
        <v>44139</v>
      </c>
      <c r="I29" s="13">
        <v>100000</v>
      </c>
      <c r="J29" s="48" t="s">
        <v>41</v>
      </c>
      <c r="K29" s="53" t="s">
        <v>42</v>
      </c>
      <c r="L29" s="61"/>
      <c r="M29" s="62"/>
      <c r="N29" s="62"/>
      <c r="O29" s="61"/>
    </row>
    <row r="30" customHeight="1" spans="1:15">
      <c r="A30" s="36"/>
      <c r="B30" s="37"/>
      <c r="C30" s="38"/>
      <c r="D30" s="39"/>
      <c r="E30" s="40"/>
      <c r="F30" s="18"/>
      <c r="G30" s="28"/>
      <c r="H30" s="25"/>
      <c r="I30" s="13"/>
      <c r="J30" s="48"/>
      <c r="K30" s="60"/>
      <c r="L30" s="61"/>
      <c r="M30" s="62"/>
      <c r="N30" s="62"/>
      <c r="O30" s="61"/>
    </row>
    <row r="31" customHeight="1" spans="1:15">
      <c r="A31" s="36"/>
      <c r="B31" s="37"/>
      <c r="C31" s="38"/>
      <c r="D31" s="39"/>
      <c r="E31" s="40"/>
      <c r="F31" s="18"/>
      <c r="G31" s="28"/>
      <c r="H31" s="25"/>
      <c r="I31" s="13"/>
      <c r="J31" s="48"/>
      <c r="K31" s="60"/>
      <c r="L31" s="61"/>
      <c r="M31" s="62"/>
      <c r="N31" s="62"/>
      <c r="O31" s="61"/>
    </row>
    <row r="32" customHeight="1" spans="1:15">
      <c r="A32" s="36"/>
      <c r="B32" s="37">
        <f t="shared" ref="B32:B37" si="9">ROUND(G32/(1+E32),2)</f>
        <v>0</v>
      </c>
      <c r="C32" s="38"/>
      <c r="D32" s="39"/>
      <c r="E32" s="40"/>
      <c r="F32" s="18">
        <f t="shared" ref="F32:F37" si="10">ROUND(G32/(1+E32)*E32,2)</f>
        <v>0</v>
      </c>
      <c r="G32" s="28"/>
      <c r="H32" s="25"/>
      <c r="I32" s="13">
        <v>100</v>
      </c>
      <c r="J32" s="48" t="s">
        <v>51</v>
      </c>
      <c r="K32" s="60" t="s">
        <v>138</v>
      </c>
      <c r="L32" s="61"/>
      <c r="M32" s="62"/>
      <c r="N32" s="62"/>
      <c r="O32" s="61"/>
    </row>
    <row r="33" customHeight="1" spans="1:15">
      <c r="A33" s="36"/>
      <c r="B33" s="37">
        <f t="shared" si="9"/>
        <v>0</v>
      </c>
      <c r="C33" s="38"/>
      <c r="D33" s="39"/>
      <c r="E33" s="40"/>
      <c r="F33" s="18">
        <f t="shared" si="10"/>
        <v>0</v>
      </c>
      <c r="G33" s="28"/>
      <c r="H33" s="25"/>
      <c r="I33" s="13">
        <v>-200000</v>
      </c>
      <c r="J33" s="48" t="s">
        <v>68</v>
      </c>
      <c r="K33" s="60" t="s">
        <v>139</v>
      </c>
      <c r="L33" s="61"/>
      <c r="M33" s="62"/>
      <c r="N33" s="62"/>
      <c r="O33" s="61"/>
    </row>
    <row r="34" customHeight="1" spans="1:15">
      <c r="A34" s="36"/>
      <c r="B34" s="37">
        <f t="shared" si="9"/>
        <v>0</v>
      </c>
      <c r="C34" s="38"/>
      <c r="D34" s="39"/>
      <c r="E34" s="40"/>
      <c r="F34" s="18">
        <f t="shared" si="10"/>
        <v>0</v>
      </c>
      <c r="G34" s="28"/>
      <c r="H34" s="25"/>
      <c r="I34" s="13">
        <v>200000</v>
      </c>
      <c r="J34" s="48" t="s">
        <v>52</v>
      </c>
      <c r="K34" s="60" t="s">
        <v>140</v>
      </c>
      <c r="L34" s="61"/>
      <c r="M34" s="62"/>
      <c r="N34" s="62"/>
      <c r="O34" s="61"/>
    </row>
    <row r="35" customHeight="1" spans="1:15">
      <c r="A35" s="36"/>
      <c r="B35" s="37">
        <f t="shared" si="9"/>
        <v>0</v>
      </c>
      <c r="C35" s="38"/>
      <c r="D35" s="39"/>
      <c r="E35" s="40"/>
      <c r="F35" s="18">
        <f t="shared" si="10"/>
        <v>0</v>
      </c>
      <c r="G35" s="28"/>
      <c r="H35" s="25"/>
      <c r="I35" s="13">
        <f>1427.18+174.76+1631.07+116.5+270.27+4245.52</f>
        <v>7865.3</v>
      </c>
      <c r="J35" s="48" t="s">
        <v>51</v>
      </c>
      <c r="K35" s="60" t="s">
        <v>141</v>
      </c>
      <c r="L35" s="61"/>
      <c r="M35" s="62"/>
      <c r="N35" s="62"/>
      <c r="O35" s="61"/>
    </row>
    <row r="36" customHeight="1" spans="1:15">
      <c r="A36" s="36"/>
      <c r="B36" s="37">
        <f t="shared" si="9"/>
        <v>0</v>
      </c>
      <c r="C36" s="38"/>
      <c r="D36" s="39"/>
      <c r="E36" s="40"/>
      <c r="F36" s="18">
        <f t="shared" si="10"/>
        <v>0</v>
      </c>
      <c r="G36" s="28"/>
      <c r="H36" s="25"/>
      <c r="I36" s="13">
        <f>1050+500+50+500</f>
        <v>2100</v>
      </c>
      <c r="J36" s="48" t="s">
        <v>51</v>
      </c>
      <c r="K36" s="60" t="s">
        <v>85</v>
      </c>
      <c r="L36" s="61"/>
      <c r="M36" s="62"/>
      <c r="N36" s="62"/>
      <c r="O36" s="61"/>
    </row>
    <row r="37" customHeight="1" spans="1:15">
      <c r="A37" s="36"/>
      <c r="B37" s="37">
        <f t="shared" si="9"/>
        <v>146250</v>
      </c>
      <c r="C37" s="38"/>
      <c r="D37" s="39"/>
      <c r="E37" s="40"/>
      <c r="F37" s="18">
        <f t="shared" si="10"/>
        <v>0</v>
      </c>
      <c r="G37" s="28">
        <f>38550+42974.81+4725.19+13500+1500+45000</f>
        <v>146250</v>
      </c>
      <c r="H37" s="25"/>
      <c r="I37" s="13">
        <f>G37</f>
        <v>146250</v>
      </c>
      <c r="J37" s="48" t="s">
        <v>51</v>
      </c>
      <c r="K37" s="60" t="s">
        <v>87</v>
      </c>
      <c r="L37" s="61"/>
      <c r="M37" s="62"/>
      <c r="N37" s="62"/>
      <c r="O37" s="61"/>
    </row>
    <row r="38" customHeight="1" spans="1:15">
      <c r="A38" s="31" t="s">
        <v>23</v>
      </c>
      <c r="B38" s="30">
        <f>SUM(B21:B37)</f>
        <v>4146250</v>
      </c>
      <c r="C38" s="31"/>
      <c r="D38" s="41"/>
      <c r="E38" s="41"/>
      <c r="F38" s="42">
        <f>SUM(F21:F37)</f>
        <v>0</v>
      </c>
      <c r="G38" s="43">
        <f>SUM(G21:G37)</f>
        <v>4146250</v>
      </c>
      <c r="H38" s="44"/>
      <c r="I38" s="31">
        <f>SUM(I21:I37)</f>
        <v>9650100</v>
      </c>
      <c r="J38" s="63"/>
      <c r="K38" s="41"/>
      <c r="L38" s="34"/>
      <c r="M38" s="48"/>
      <c r="N38" s="48"/>
      <c r="O38" s="34"/>
    </row>
    <row r="39" customHeight="1" spans="1:15">
      <c r="A39" s="45" t="s">
        <v>71</v>
      </c>
      <c r="B39" s="45">
        <f>B18-B38</f>
        <v>6404135.0582524</v>
      </c>
      <c r="C39" s="45"/>
      <c r="D39" s="46"/>
      <c r="E39" s="46"/>
      <c r="F39" s="47"/>
      <c r="G39" s="45">
        <f>G18-G38</f>
        <v>6720646.61</v>
      </c>
      <c r="H39" s="24" t="s">
        <v>72</v>
      </c>
      <c r="I39" s="31">
        <f>I18-I38</f>
        <v>99899.9999999981</v>
      </c>
      <c r="J39" s="54"/>
      <c r="K39" s="64"/>
      <c r="L39" s="54"/>
      <c r="M39" s="65"/>
      <c r="N39" s="65"/>
      <c r="O39" s="54"/>
    </row>
    <row r="40" customHeight="1" spans="1:15">
      <c r="A40" s="21" t="s">
        <v>73</v>
      </c>
      <c r="B40" s="20"/>
      <c r="C40" s="21"/>
      <c r="D40" s="19"/>
      <c r="E40" s="19"/>
      <c r="F40" s="20"/>
      <c r="G40" s="20"/>
      <c r="H40" s="19"/>
      <c r="I40" s="20"/>
      <c r="J40" s="58"/>
      <c r="K40" s="54"/>
      <c r="L40" s="54"/>
      <c r="M40" s="54"/>
      <c r="N40" s="54"/>
      <c r="O40" s="54"/>
    </row>
    <row r="41" customHeight="1" spans="1:15">
      <c r="A41" s="24" t="s">
        <v>74</v>
      </c>
      <c r="B41" s="23" t="s">
        <v>75</v>
      </c>
      <c r="C41" s="34"/>
      <c r="D41" s="24" t="s">
        <v>74</v>
      </c>
      <c r="E41" s="22" t="s">
        <v>15</v>
      </c>
      <c r="F41" s="23" t="s">
        <v>75</v>
      </c>
      <c r="G41" s="20"/>
      <c r="H41" s="19"/>
      <c r="I41" s="20"/>
      <c r="J41" s="58"/>
      <c r="K41" s="54"/>
      <c r="L41" s="54"/>
      <c r="M41" s="54"/>
      <c r="N41" s="54"/>
      <c r="O41" s="54"/>
    </row>
    <row r="42" customHeight="1" spans="1:15">
      <c r="A42" s="34" t="s">
        <v>76</v>
      </c>
      <c r="B42" s="18">
        <f>(B18-B38)*0.25</f>
        <v>1601033.7645631</v>
      </c>
      <c r="C42" s="34"/>
      <c r="D42" s="11" t="s">
        <v>77</v>
      </c>
      <c r="E42" s="48" t="s">
        <v>78</v>
      </c>
      <c r="F42" s="49">
        <f>F18-F38</f>
        <v>316511.551747573</v>
      </c>
      <c r="G42" s="20"/>
      <c r="H42" s="19"/>
      <c r="I42" s="20"/>
      <c r="J42" s="58"/>
      <c r="K42" s="54"/>
      <c r="L42" s="54"/>
      <c r="M42" s="54"/>
      <c r="N42" s="54"/>
      <c r="O42" s="54"/>
    </row>
    <row r="43" customHeight="1" spans="1:15">
      <c r="A43" s="34" t="s">
        <v>54</v>
      </c>
      <c r="B43" s="50"/>
      <c r="C43" s="34"/>
      <c r="D43" s="51" t="s">
        <v>79</v>
      </c>
      <c r="E43" s="14">
        <v>0.05</v>
      </c>
      <c r="F43" s="15">
        <f>F42*E43</f>
        <v>15825.5775873787</v>
      </c>
      <c r="G43" s="20"/>
      <c r="H43" s="19"/>
      <c r="I43" s="20"/>
      <c r="J43" s="58"/>
      <c r="K43" s="54"/>
      <c r="L43" s="54"/>
      <c r="M43" s="54"/>
      <c r="N43" s="54"/>
      <c r="O43" s="54"/>
    </row>
    <row r="44" customHeight="1" spans="1:15">
      <c r="A44" s="34" t="s">
        <v>80</v>
      </c>
      <c r="B44" s="50"/>
      <c r="C44" s="34"/>
      <c r="D44" s="51" t="s">
        <v>81</v>
      </c>
      <c r="E44" s="14">
        <v>0.03</v>
      </c>
      <c r="F44" s="15">
        <f>F42*E44</f>
        <v>9495.34655242719</v>
      </c>
      <c r="G44" s="20"/>
      <c r="H44" s="19"/>
      <c r="I44" s="20"/>
      <c r="J44" s="58"/>
      <c r="K44" s="54"/>
      <c r="L44" s="54"/>
      <c r="M44" s="54"/>
      <c r="N44" s="54"/>
      <c r="O44" s="54"/>
    </row>
    <row r="45" customHeight="1" spans="1:15">
      <c r="A45" s="34"/>
      <c r="B45" s="15"/>
      <c r="C45" s="34"/>
      <c r="D45" s="51" t="s">
        <v>82</v>
      </c>
      <c r="E45" s="14">
        <v>0.02</v>
      </c>
      <c r="F45" s="15">
        <f>F42*E45</f>
        <v>6330.23103495146</v>
      </c>
      <c r="G45" s="20"/>
      <c r="H45" s="19"/>
      <c r="I45" s="20"/>
      <c r="J45" s="58"/>
      <c r="K45" s="54"/>
      <c r="L45" s="54"/>
      <c r="M45" s="54"/>
      <c r="N45" s="54"/>
      <c r="O45" s="54"/>
    </row>
    <row r="46" customHeight="1" spans="1:15">
      <c r="A46" s="29" t="s">
        <v>83</v>
      </c>
      <c r="B46" s="52">
        <f>SUM(B42:B45)</f>
        <v>1601033.7645631</v>
      </c>
      <c r="C46" s="34"/>
      <c r="D46" s="29" t="s">
        <v>83</v>
      </c>
      <c r="E46" s="29"/>
      <c r="F46" s="42">
        <f>SUM(F42:F45)</f>
        <v>348162.70692233</v>
      </c>
      <c r="G46" s="20"/>
      <c r="H46" s="19"/>
      <c r="I46" s="20"/>
      <c r="J46" s="58"/>
      <c r="K46" s="54"/>
      <c r="L46" s="54"/>
      <c r="M46" s="54"/>
      <c r="N46" s="54"/>
      <c r="O46" s="54"/>
    </row>
    <row r="47" customHeight="1" spans="1:15">
      <c r="A47" s="21"/>
      <c r="B47" s="20"/>
      <c r="C47" s="21"/>
      <c r="D47" s="13" t="s">
        <v>54</v>
      </c>
      <c r="E47" s="53">
        <v>0.0003</v>
      </c>
      <c r="F47" s="15">
        <f>G18*E47</f>
        <v>3260.068983</v>
      </c>
      <c r="G47" s="20"/>
      <c r="H47" s="19"/>
      <c r="I47" s="20"/>
      <c r="J47" s="58"/>
      <c r="K47" s="54"/>
      <c r="L47" s="54"/>
      <c r="M47" s="54"/>
      <c r="N47" s="54"/>
      <c r="O47" s="54"/>
    </row>
    <row r="48" customHeight="1" spans="1:15">
      <c r="A48" s="21"/>
      <c r="B48" s="20"/>
      <c r="C48" s="21"/>
      <c r="D48" s="13" t="s">
        <v>80</v>
      </c>
      <c r="E48" s="53">
        <v>0.0006</v>
      </c>
      <c r="F48" s="15">
        <f>B18*E48</f>
        <v>6330.23103495145</v>
      </c>
      <c r="G48" s="20"/>
      <c r="H48" s="19"/>
      <c r="I48" s="20"/>
      <c r="J48" s="58"/>
      <c r="K48" s="54"/>
      <c r="L48" s="54"/>
      <c r="M48" s="54"/>
      <c r="N48" s="54"/>
      <c r="O48" s="54"/>
    </row>
    <row r="49" customHeight="1" spans="1:15">
      <c r="A49" s="21"/>
      <c r="B49" s="20"/>
      <c r="C49" s="21"/>
      <c r="D49" s="31" t="s">
        <v>23</v>
      </c>
      <c r="E49" s="31"/>
      <c r="F49" s="32">
        <f>F46+F47+F48</f>
        <v>357753.006940282</v>
      </c>
      <c r="G49" s="20"/>
      <c r="H49" s="19"/>
      <c r="I49" s="20"/>
      <c r="J49" s="58"/>
      <c r="K49" s="54"/>
      <c r="L49" s="54"/>
      <c r="M49" s="54"/>
      <c r="N49" s="54"/>
      <c r="O49" s="54"/>
    </row>
    <row r="50" customHeight="1" spans="1:15">
      <c r="A50" s="21"/>
      <c r="B50" s="20"/>
      <c r="C50" s="21"/>
      <c r="D50" s="19"/>
      <c r="E50" s="19"/>
      <c r="F50" s="20"/>
      <c r="G50" s="20"/>
      <c r="H50" s="19"/>
      <c r="I50" s="20"/>
      <c r="J50" s="58"/>
      <c r="K50" s="54"/>
      <c r="L50" s="54"/>
      <c r="M50" s="54"/>
      <c r="N50" s="54"/>
      <c r="O50" s="54"/>
    </row>
    <row r="51" customHeight="1" spans="1:15">
      <c r="A51" s="21"/>
      <c r="B51" s="20"/>
      <c r="C51" s="21"/>
      <c r="D51" s="19"/>
      <c r="E51" s="19"/>
      <c r="F51" s="20"/>
      <c r="G51" s="20"/>
      <c r="H51" s="19"/>
      <c r="I51" s="20"/>
      <c r="J51" s="58"/>
      <c r="K51" s="54"/>
      <c r="L51" s="54"/>
      <c r="M51" s="54"/>
      <c r="N51" s="54"/>
      <c r="O51" s="54"/>
    </row>
    <row r="52" customHeight="1" spans="1:15">
      <c r="A52" s="21"/>
      <c r="B52" s="20"/>
      <c r="C52" s="21"/>
      <c r="D52" s="19"/>
      <c r="E52" s="19"/>
      <c r="F52" s="20"/>
      <c r="G52" s="20"/>
      <c r="H52" s="19"/>
      <c r="I52" s="20"/>
      <c r="J52" s="58"/>
      <c r="K52" s="54"/>
      <c r="L52" s="54"/>
      <c r="M52" s="54"/>
      <c r="N52" s="54"/>
      <c r="O52" s="5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699305555555556" right="0.699305555555556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8" sqref="F28"/>
    </sheetView>
  </sheetViews>
  <sheetFormatPr defaultColWidth="9" defaultRowHeight="13.5" outlineLevelCol="7"/>
  <cols>
    <col min="1" max="1" width="57.25" customWidth="1"/>
    <col min="2" max="2" width="17.25" customWidth="1"/>
    <col min="3" max="3" width="10.875" customWidth="1"/>
    <col min="4" max="4" width="13.125" customWidth="1"/>
    <col min="5" max="5" width="13.25" customWidth="1"/>
    <col min="6" max="6" width="15.625" customWidth="1"/>
    <col min="7" max="7" width="14.125" customWidth="1"/>
    <col min="8" max="8" width="17.25" customWidth="1"/>
  </cols>
  <sheetData>
    <row r="1" ht="20" customHeight="1" spans="1:8">
      <c r="A1" s="1" t="s">
        <v>142</v>
      </c>
      <c r="B1" s="1"/>
      <c r="C1" s="1"/>
      <c r="D1" s="1"/>
      <c r="E1" s="1"/>
      <c r="F1" s="1"/>
      <c r="G1" s="1"/>
      <c r="H1" s="1"/>
    </row>
    <row r="2" ht="20" customHeight="1" spans="1:7">
      <c r="A2" s="2"/>
      <c r="G2" t="s">
        <v>143</v>
      </c>
    </row>
    <row r="3" ht="20" customHeight="1" spans="1:1">
      <c r="A3" s="2"/>
    </row>
    <row r="4" ht="20" customHeight="1" spans="1:8">
      <c r="A4" s="3" t="s">
        <v>144</v>
      </c>
      <c r="B4" s="4" t="s">
        <v>111</v>
      </c>
      <c r="C4" s="4" t="s">
        <v>145</v>
      </c>
      <c r="D4" s="4" t="s">
        <v>112</v>
      </c>
      <c r="E4" s="4" t="s">
        <v>113</v>
      </c>
      <c r="F4" s="4" t="s">
        <v>114</v>
      </c>
      <c r="G4" s="4" t="s">
        <v>115</v>
      </c>
      <c r="H4" s="5" t="s">
        <v>36</v>
      </c>
    </row>
    <row r="5" ht="20" customHeight="1" spans="1:8">
      <c r="A5" s="3" t="s">
        <v>117</v>
      </c>
      <c r="B5" s="4" t="s">
        <v>118</v>
      </c>
      <c r="C5" s="4">
        <v>40</v>
      </c>
      <c r="D5" s="4" t="s">
        <v>119</v>
      </c>
      <c r="E5" s="5">
        <f>(1180970.58+2950254.48+3686774.94)/10000</f>
        <v>781.8</v>
      </c>
      <c r="F5" s="5">
        <f>800-E5</f>
        <v>18.2</v>
      </c>
      <c r="G5" s="5"/>
      <c r="H5" s="5" t="s">
        <v>120</v>
      </c>
    </row>
    <row r="6" ht="20" customHeight="1" spans="1:8">
      <c r="A6" s="3" t="s">
        <v>124</v>
      </c>
      <c r="B6" s="4" t="s">
        <v>125</v>
      </c>
      <c r="C6" s="4">
        <f>384.4+324.5+177.65</f>
        <v>886.55</v>
      </c>
      <c r="D6" s="6">
        <f>(2000000+2699433.77)/10000</f>
        <v>469.943377</v>
      </c>
      <c r="E6" s="7">
        <f>(3180970.58+583766.87)/10000</f>
        <v>376.473745</v>
      </c>
      <c r="F6" s="8">
        <f>D6-E6</f>
        <v>93.4696319999999</v>
      </c>
      <c r="G6" s="5">
        <f>384.4+324.5+177.65-200-269.94</f>
        <v>416.61</v>
      </c>
      <c r="H6" s="5"/>
    </row>
    <row r="7" ht="20" customHeight="1" spans="1:8">
      <c r="A7" s="3" t="s">
        <v>126</v>
      </c>
      <c r="B7" s="4" t="s">
        <v>127</v>
      </c>
      <c r="C7" s="4">
        <f>200+300</f>
        <v>500</v>
      </c>
      <c r="D7" s="5">
        <v>400</v>
      </c>
      <c r="E7" s="5">
        <v>400</v>
      </c>
      <c r="F7" s="5">
        <v>0</v>
      </c>
      <c r="G7" s="5">
        <f>500-400</f>
        <v>100</v>
      </c>
      <c r="H7" s="5" t="s">
        <v>120</v>
      </c>
    </row>
    <row r="8" ht="20" customHeight="1" spans="1:8">
      <c r="A8" s="3" t="s">
        <v>128</v>
      </c>
      <c r="B8" s="4" t="s">
        <v>129</v>
      </c>
      <c r="C8" s="4">
        <v>500</v>
      </c>
      <c r="D8" s="5">
        <v>500</v>
      </c>
      <c r="E8" s="7">
        <f>(2395204.48+488733.13)/10000</f>
        <v>288.393761</v>
      </c>
      <c r="F8" s="8">
        <f>D8-E8</f>
        <v>211.606239</v>
      </c>
      <c r="G8" s="5"/>
      <c r="H8" s="5"/>
    </row>
    <row r="9" ht="20" customHeight="1" spans="1:8">
      <c r="A9" s="3"/>
      <c r="B9" s="5"/>
      <c r="C9" s="5"/>
      <c r="D9" s="5"/>
      <c r="E9" s="5"/>
      <c r="F9" s="5"/>
      <c r="G9" s="5"/>
      <c r="H9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4091 济青高速 (新)</vt:lpstr>
      <vt:lpstr>济青高速（旧）</vt:lpstr>
      <vt:lpstr>3113荣乌（丁）</vt:lpstr>
      <vt:lpstr>3113 荣乌</vt:lpstr>
      <vt:lpstr>3113荣乌（律师要）</vt:lpstr>
      <vt:lpstr>3093 六合竹镇镇</vt:lpstr>
      <vt:lpstr>3个项目4个供应商合同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2018-02-12T05:24:00Z</cp:lastPrinted>
  <dcterms:modified xsi:type="dcterms:W3CDTF">2021-11-30T01:05:16Z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9FF1EC64D0654FD1839C3E634F87B5A6</vt:lpwstr>
  </property>
</Properties>
</file>