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1" r:id="rId1"/>
  </sheets>
  <definedNames>
    <definedName name="_xlnm._FilterDatabase" localSheetId="0" hidden="1">Sheet1!$A$13:$O$50</definedName>
  </definedNames>
  <calcPr calcId="144525"/>
</workbook>
</file>

<file path=xl/comments1.xml><?xml version="1.0" encoding="utf-8"?>
<comments xmlns="http://schemas.openxmlformats.org/spreadsheetml/2006/main">
  <authors>
    <author>cw05</author>
    <author>qyr</author>
  </authors>
  <commentList>
    <comment ref="A42" authorId="0">
      <text>
        <r>
          <rPr>
            <sz val="9"/>
            <rFont val="宋体"/>
            <charset val="134"/>
          </rPr>
          <t>cw05:
当地未缴，本地代扣代缴，含税价*0.0003。</t>
        </r>
      </text>
    </comment>
    <comment ref="B42" authorId="1">
      <text>
        <r>
          <rPr>
            <b/>
            <sz val="9"/>
            <rFont val="宋体"/>
            <charset val="134"/>
          </rPr>
          <t>qyr:</t>
        </r>
        <r>
          <rPr>
            <sz val="9"/>
            <rFont val="宋体"/>
            <charset val="134"/>
          </rPr>
          <t xml:space="preserve">
异地未预缴</t>
        </r>
      </text>
    </comment>
    <comment ref="A43" authorId="0">
      <text>
        <r>
          <rPr>
            <sz val="9"/>
            <rFont val="宋体"/>
            <charset val="134"/>
          </rPr>
          <t>cw05:
当地未缴，本地代扣代缴，不含税销售额*0.0006</t>
        </r>
      </text>
    </comment>
    <comment ref="G46" authorId="1">
      <text>
        <r>
          <rPr>
            <b/>
            <sz val="9"/>
            <rFont val="宋体"/>
            <charset val="134"/>
          </rPr>
          <t>qyr:</t>
        </r>
        <r>
          <rPr>
            <sz val="9"/>
            <rFont val="宋体"/>
            <charset val="134"/>
          </rPr>
          <t xml:space="preserve">
异地已预缴1865.48</t>
        </r>
      </text>
    </comment>
    <comment ref="G47" authorId="1">
      <text>
        <r>
          <rPr>
            <b/>
            <sz val="9"/>
            <rFont val="宋体"/>
            <charset val="134"/>
          </rPr>
          <t>qyr:</t>
        </r>
        <r>
          <rPr>
            <sz val="9"/>
            <rFont val="宋体"/>
            <charset val="134"/>
          </rPr>
          <t xml:space="preserve">
异地未预缴</t>
        </r>
      </text>
    </comment>
  </commentList>
</comments>
</file>

<file path=xl/sharedStrings.xml><?xml version="1.0" encoding="utf-8"?>
<sst xmlns="http://schemas.openxmlformats.org/spreadsheetml/2006/main" count="121" uniqueCount="75">
  <si>
    <t>C14549  526国道嵊泗段改建工程项目路基钢制护栏工程施工劳务招标</t>
  </si>
  <si>
    <t>中标日期</t>
  </si>
  <si>
    <t>2021.10.13</t>
  </si>
  <si>
    <t>中标价</t>
  </si>
  <si>
    <t>负责人</t>
  </si>
  <si>
    <t>周恒泉18857466661</t>
  </si>
  <si>
    <t>建设单位</t>
  </si>
  <si>
    <t>安徽建工集团股份有限公司9134 0300 7117 9041 6H</t>
  </si>
  <si>
    <t>安徽省蚌埠市东海大道5183号  0551-62865023</t>
  </si>
  <si>
    <t>决算日期</t>
  </si>
  <si>
    <t>决算价</t>
  </si>
  <si>
    <t>中国建设银行合肥钟楼支行   3405 0148 8608 0000 1230</t>
  </si>
  <si>
    <t>销售开票：</t>
  </si>
  <si>
    <t>开票日期</t>
  </si>
  <si>
    <t>收入金额</t>
  </si>
  <si>
    <t>工程地缴税</t>
  </si>
  <si>
    <t>企业本地缴税</t>
  </si>
  <si>
    <t>价税合计</t>
  </si>
  <si>
    <t>到款情况</t>
  </si>
  <si>
    <t>税率</t>
  </si>
  <si>
    <t>增值税额</t>
  </si>
  <si>
    <t>日期</t>
  </si>
  <si>
    <t>金额</t>
  </si>
  <si>
    <t>银行</t>
  </si>
  <si>
    <t>新中行</t>
  </si>
  <si>
    <t>合计</t>
  </si>
  <si>
    <t>材料发票：</t>
  </si>
  <si>
    <t>认证日期</t>
  </si>
  <si>
    <t>成本金额</t>
  </si>
  <si>
    <t>份数</t>
  </si>
  <si>
    <t>类型</t>
  </si>
  <si>
    <t>进项税额</t>
  </si>
  <si>
    <t>付款日期</t>
  </si>
  <si>
    <t>付款金额</t>
  </si>
  <si>
    <t>销货单位</t>
  </si>
  <si>
    <t>货物</t>
  </si>
  <si>
    <t>合同</t>
  </si>
  <si>
    <t>发货单</t>
  </si>
  <si>
    <t>备注</t>
  </si>
  <si>
    <t>中行</t>
  </si>
  <si>
    <t>宁波聚恒金属科技有限公司</t>
  </si>
  <si>
    <t>护栏</t>
  </si>
  <si>
    <t>14549-2022-002#（2022-87号）-7697000</t>
  </si>
  <si>
    <t>借款</t>
  </si>
  <si>
    <t>公司借款（2022.1.17周恒泉转11000到钱玉荣卡，先按1%计息）</t>
  </si>
  <si>
    <t>安徽建工集团股份有限公司嵊泗至定海公路嵊泗嵊山至枸杞段改建工程项目部</t>
  </si>
  <si>
    <t>嵊山改建项目路基钢护栏履约保证金</t>
  </si>
  <si>
    <t>安徽建工集团股份有限公司嵊泗县国省道改建工程、旅游交通集散中心PPP项目部</t>
  </si>
  <si>
    <t>嵊泗526国道路基钢制护栏合同履约保证金</t>
  </si>
  <si>
    <t>还</t>
  </si>
  <si>
    <t>公司借款（利息11天计息）</t>
  </si>
  <si>
    <t>护栏采购</t>
  </si>
  <si>
    <t>专</t>
  </si>
  <si>
    <t>扣</t>
  </si>
  <si>
    <t>外经证</t>
  </si>
  <si>
    <t>转账手续费</t>
  </si>
  <si>
    <t>企税1%</t>
  </si>
  <si>
    <t>管理费2%</t>
  </si>
  <si>
    <t>2022.3月水利基金</t>
  </si>
  <si>
    <t>应提供成本</t>
  </si>
  <si>
    <t>可支付金额</t>
  </si>
  <si>
    <t>尚需提供成本</t>
  </si>
  <si>
    <t>公司代缴税金：</t>
  </si>
  <si>
    <t>税种</t>
  </si>
  <si>
    <t>税额</t>
  </si>
  <si>
    <t>2022.3月开票税金</t>
  </si>
  <si>
    <t>企业所得税</t>
  </si>
  <si>
    <t>增值税</t>
  </si>
  <si>
    <t>差额</t>
  </si>
  <si>
    <t>印花税</t>
  </si>
  <si>
    <t>城市维护建设税</t>
  </si>
  <si>
    <t>水利基金</t>
  </si>
  <si>
    <t>教育费附加</t>
  </si>
  <si>
    <t>地方教育费附加</t>
  </si>
  <si>
    <t>小计</t>
  </si>
</sst>
</file>

<file path=xl/styles.xml><?xml version="1.0" encoding="utf-8"?>
<styleSheet xmlns="http://schemas.openxmlformats.org/spreadsheetml/2006/main">
  <numFmts count="10">
    <numFmt numFmtId="44" formatCode="_ &quot;￥&quot;* #,##0.00_ ;_ &quot;￥&quot;* \-#,##0.00_ ;_ &quot;￥&quot;* &quot;-&quot;??_ ;_ @_ "/>
    <numFmt numFmtId="176" formatCode="0.00_ "/>
    <numFmt numFmtId="41" formatCode="_ * #,##0_ ;_ * \-#,##0_ ;_ * &quot;-&quot;_ ;_ @_ "/>
    <numFmt numFmtId="42" formatCode="_ &quot;￥&quot;* #,##0_ ;_ &quot;￥&quot;* \-#,##0_ ;_ &quot;￥&quot;* &quot;-&quot;_ ;_ @_ "/>
    <numFmt numFmtId="43" formatCode="_ * #,##0.00_ ;_ * \-#,##0.00_ ;_ * &quot;-&quot;??_ ;_ @_ "/>
    <numFmt numFmtId="177" formatCode="yy/m/d;@"/>
    <numFmt numFmtId="178" formatCode="#,##0.00_ "/>
    <numFmt numFmtId="179" formatCode="yyyy/m/d;@"/>
    <numFmt numFmtId="180" formatCode="yyyy&quot;年&quot;m&quot;月&quot;;@"/>
    <numFmt numFmtId="181" formatCode="#,##0_ "/>
  </numFmts>
  <fonts count="32">
    <font>
      <sz val="11"/>
      <color theme="1"/>
      <name val="宋体"/>
      <charset val="134"/>
      <scheme val="minor"/>
    </font>
    <font>
      <sz val="9"/>
      <name val="宋体"/>
      <charset val="134"/>
      <scheme val="minor"/>
    </font>
    <font>
      <sz val="9"/>
      <color theme="1"/>
      <name val="宋体"/>
      <charset val="134"/>
      <scheme val="minor"/>
    </font>
    <font>
      <b/>
      <sz val="10"/>
      <color theme="1"/>
      <name val="宋体"/>
      <charset val="134"/>
      <scheme val="minor"/>
    </font>
    <font>
      <b/>
      <sz val="9"/>
      <color rgb="FF333333"/>
      <name val="宋体"/>
      <charset val="134"/>
    </font>
    <font>
      <sz val="9"/>
      <color rgb="FF333333"/>
      <name val="宋体"/>
      <charset val="134"/>
    </font>
    <font>
      <b/>
      <sz val="9"/>
      <color theme="1"/>
      <name val="宋体"/>
      <charset val="134"/>
    </font>
    <font>
      <b/>
      <sz val="11"/>
      <color theme="1"/>
      <name val="宋体"/>
      <charset val="134"/>
      <scheme val="minor"/>
    </font>
    <font>
      <b/>
      <sz val="9"/>
      <color theme="1"/>
      <name val="宋体"/>
      <charset val="134"/>
      <scheme val="minor"/>
    </font>
    <font>
      <sz val="8"/>
      <color theme="1"/>
      <name val="宋体"/>
      <charset val="134"/>
      <scheme val="minor"/>
    </font>
    <font>
      <sz val="9"/>
      <color rgb="FFFF0000"/>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9"/>
      <name val="宋体"/>
      <charset val="134"/>
    </font>
    <font>
      <b/>
      <sz val="9"/>
      <name val="宋体"/>
      <charset val="134"/>
    </font>
  </fonts>
  <fills count="37">
    <fill>
      <patternFill patternType="none"/>
    </fill>
    <fill>
      <patternFill patternType="gray125"/>
    </fill>
    <fill>
      <patternFill patternType="solid">
        <fgColor theme="8"/>
        <bgColor indexed="64"/>
      </patternFill>
    </fill>
    <fill>
      <patternFill patternType="solid">
        <fgColor rgb="FFFFFF00"/>
        <bgColor indexed="64"/>
      </patternFill>
    </fill>
    <fill>
      <patternFill patternType="solid">
        <fgColor rgb="FFFFC000"/>
        <bgColor indexed="64"/>
      </patternFill>
    </fill>
    <fill>
      <patternFill patternType="solid">
        <fgColor theme="8" tint="0.399945066682943"/>
        <bgColor indexed="64"/>
      </patternFill>
    </fill>
    <fill>
      <patternFill patternType="solid">
        <fgColor theme="0"/>
        <bgColor indexed="64"/>
      </patternFill>
    </fill>
    <fill>
      <patternFill patternType="solid">
        <fgColor theme="9"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19" fillId="1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9" borderId="0" applyNumberFormat="0" applyBorder="0" applyAlignment="0" applyProtection="0">
      <alignment vertical="center"/>
    </xf>
    <xf numFmtId="0" fontId="22" fillId="21" borderId="0" applyNumberFormat="0" applyBorder="0" applyAlignment="0" applyProtection="0">
      <alignment vertical="center"/>
    </xf>
    <xf numFmtId="43" fontId="0" fillId="0" borderId="0" applyFont="0" applyFill="0" applyBorder="0" applyAlignment="0" applyProtection="0">
      <alignment vertical="center"/>
    </xf>
    <xf numFmtId="0" fontId="11" fillId="2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6" borderId="13" applyNumberFormat="0" applyFont="0" applyAlignment="0" applyProtection="0">
      <alignment vertical="center"/>
    </xf>
    <xf numFmtId="0" fontId="11"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1" fillId="0" borderId="12" applyNumberFormat="0" applyFill="0" applyAlignment="0" applyProtection="0">
      <alignment vertical="center"/>
    </xf>
    <xf numFmtId="0" fontId="11" fillId="29" borderId="0" applyNumberFormat="0" applyBorder="0" applyAlignment="0" applyProtection="0">
      <alignment vertical="center"/>
    </xf>
    <xf numFmtId="0" fontId="17" fillId="0" borderId="9" applyNumberFormat="0" applyFill="0" applyAlignment="0" applyProtection="0">
      <alignment vertical="center"/>
    </xf>
    <xf numFmtId="0" fontId="11" fillId="32" borderId="0" applyNumberFormat="0" applyBorder="0" applyAlignment="0" applyProtection="0">
      <alignment vertical="center"/>
    </xf>
    <xf numFmtId="0" fontId="13" fillId="10" borderId="6" applyNumberFormat="0" applyAlignment="0" applyProtection="0">
      <alignment vertical="center"/>
    </xf>
    <xf numFmtId="0" fontId="28" fillId="10" borderId="10" applyNumberFormat="0" applyAlignment="0" applyProtection="0">
      <alignment vertical="center"/>
    </xf>
    <xf numFmtId="0" fontId="16" fillId="17" borderId="8" applyNumberFormat="0" applyAlignment="0" applyProtection="0">
      <alignment vertical="center"/>
    </xf>
    <xf numFmtId="0" fontId="12" fillId="16" borderId="0" applyNumberFormat="0" applyBorder="0" applyAlignment="0" applyProtection="0">
      <alignment vertical="center"/>
    </xf>
    <xf numFmtId="0" fontId="11" fillId="28" borderId="0" applyNumberFormat="0" applyBorder="0" applyAlignment="0" applyProtection="0">
      <alignment vertical="center"/>
    </xf>
    <xf numFmtId="0" fontId="15" fillId="0" borderId="7" applyNumberFormat="0" applyFill="0" applyAlignment="0" applyProtection="0">
      <alignment vertical="center"/>
    </xf>
    <xf numFmtId="0" fontId="20" fillId="0" borderId="11" applyNumberFormat="0" applyFill="0" applyAlignment="0" applyProtection="0">
      <alignment vertical="center"/>
    </xf>
    <xf numFmtId="0" fontId="29" fillId="33" borderId="0" applyNumberFormat="0" applyBorder="0" applyAlignment="0" applyProtection="0">
      <alignment vertical="center"/>
    </xf>
    <xf numFmtId="0" fontId="24" fillId="25" borderId="0" applyNumberFormat="0" applyBorder="0" applyAlignment="0" applyProtection="0">
      <alignment vertical="center"/>
    </xf>
    <xf numFmtId="0" fontId="12" fillId="15" borderId="0" applyNumberFormat="0" applyBorder="0" applyAlignment="0" applyProtection="0">
      <alignment vertical="center"/>
    </xf>
    <xf numFmtId="0" fontId="11" fillId="22"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Alignment="0" applyProtection="0">
      <alignment vertical="center"/>
    </xf>
    <xf numFmtId="0" fontId="12" fillId="13" borderId="0" applyNumberFormat="0" applyBorder="0" applyAlignment="0" applyProtection="0">
      <alignment vertical="center"/>
    </xf>
    <xf numFmtId="0" fontId="12" fillId="36" borderId="0" applyNumberFormat="0" applyBorder="0" applyAlignment="0" applyProtection="0">
      <alignment vertical="center"/>
    </xf>
    <xf numFmtId="0" fontId="11" fillId="24" borderId="0" applyNumberFormat="0" applyBorder="0" applyAlignment="0" applyProtection="0">
      <alignment vertical="center"/>
    </xf>
    <xf numFmtId="0" fontId="11" fillId="8" borderId="0" applyNumberFormat="0" applyBorder="0" applyAlignment="0" applyProtection="0">
      <alignment vertical="center"/>
    </xf>
    <xf numFmtId="0" fontId="12" fillId="31" borderId="0" applyNumberFormat="0" applyBorder="0" applyAlignment="0" applyProtection="0">
      <alignment vertical="center"/>
    </xf>
    <xf numFmtId="0" fontId="12" fillId="30" borderId="0" applyNumberFormat="0" applyBorder="0" applyAlignment="0" applyProtection="0">
      <alignment vertical="center"/>
    </xf>
    <xf numFmtId="0" fontId="11" fillId="2" borderId="0" applyNumberFormat="0" applyBorder="0" applyAlignment="0" applyProtection="0">
      <alignment vertical="center"/>
    </xf>
    <xf numFmtId="0" fontId="12" fillId="12" borderId="0" applyNumberFormat="0" applyBorder="0" applyAlignment="0" applyProtection="0">
      <alignment vertical="center"/>
    </xf>
    <xf numFmtId="0" fontId="11" fillId="11" borderId="0" applyNumberFormat="0" applyBorder="0" applyAlignment="0" applyProtection="0">
      <alignment vertical="center"/>
    </xf>
    <xf numFmtId="0" fontId="11" fillId="35" borderId="0" applyNumberFormat="0" applyBorder="0" applyAlignment="0" applyProtection="0">
      <alignment vertical="center"/>
    </xf>
    <xf numFmtId="0" fontId="12" fillId="34" borderId="0" applyNumberFormat="0" applyBorder="0" applyAlignment="0" applyProtection="0">
      <alignment vertical="center"/>
    </xf>
    <xf numFmtId="0" fontId="11" fillId="7" borderId="0" applyNumberFormat="0" applyBorder="0" applyAlignment="0" applyProtection="0">
      <alignment vertical="center"/>
    </xf>
  </cellStyleXfs>
  <cellXfs count="96">
    <xf numFmtId="0" fontId="0" fillId="0" borderId="0" xfId="0"/>
    <xf numFmtId="0" fontId="1" fillId="0" borderId="0" xfId="0" applyFont="1" applyBorder="1" applyAlignment="1">
      <alignment vertical="center"/>
    </xf>
    <xf numFmtId="177" fontId="2" fillId="0" borderId="0" xfId="0" applyNumberFormat="1" applyFont="1" applyBorder="1" applyAlignment="1">
      <alignment vertical="center"/>
    </xf>
    <xf numFmtId="176" fontId="2" fillId="0" borderId="0" xfId="0" applyNumberFormat="1" applyFont="1" applyBorder="1" applyAlignment="1">
      <alignment vertical="center"/>
    </xf>
    <xf numFmtId="178" fontId="2" fillId="0" borderId="0" xfId="0" applyNumberFormat="1" applyFont="1" applyBorder="1" applyAlignment="1">
      <alignment vertical="center"/>
    </xf>
    <xf numFmtId="10" fontId="2" fillId="0" borderId="0" xfId="0" applyNumberFormat="1"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177" fontId="2" fillId="0" borderId="2" xfId="0" applyNumberFormat="1" applyFont="1" applyBorder="1" applyAlignment="1">
      <alignment vertical="center"/>
    </xf>
    <xf numFmtId="14" fontId="2" fillId="0" borderId="2" xfId="0" applyNumberFormat="1" applyFont="1" applyBorder="1" applyAlignment="1">
      <alignment vertical="center"/>
    </xf>
    <xf numFmtId="178" fontId="2" fillId="0" borderId="2" xfId="0" applyNumberFormat="1" applyFont="1" applyBorder="1" applyAlignment="1">
      <alignment vertical="center"/>
    </xf>
    <xf numFmtId="178" fontId="4" fillId="0" borderId="0" xfId="0" applyNumberFormat="1" applyFont="1" applyAlignment="1">
      <alignment wrapText="1"/>
    </xf>
    <xf numFmtId="178" fontId="2" fillId="0" borderId="2" xfId="0" applyNumberFormat="1" applyFont="1" applyBorder="1" applyAlignment="1">
      <alignment horizontal="center" vertical="center"/>
    </xf>
    <xf numFmtId="0" fontId="5" fillId="0" borderId="2" xfId="0" applyFont="1" applyBorder="1" applyAlignment="1">
      <alignment horizontal="center" wrapText="1"/>
    </xf>
    <xf numFmtId="176" fontId="2" fillId="0" borderId="2" xfId="0" applyNumberFormat="1" applyFont="1" applyBorder="1" applyAlignment="1">
      <alignment horizontal="center" vertical="center"/>
    </xf>
    <xf numFmtId="177" fontId="2" fillId="0" borderId="3" xfId="0" applyNumberFormat="1" applyFont="1" applyBorder="1" applyAlignment="1">
      <alignment horizontal="left" vertical="center" wrapText="1"/>
    </xf>
    <xf numFmtId="176" fontId="1" fillId="0" borderId="2" xfId="0" applyNumberFormat="1" applyFont="1" applyBorder="1" applyAlignment="1">
      <alignment vertical="center"/>
    </xf>
    <xf numFmtId="178" fontId="6" fillId="0" borderId="2" xfId="0" applyNumberFormat="1" applyFont="1" applyBorder="1" applyAlignment="1">
      <alignment vertical="center"/>
    </xf>
    <xf numFmtId="177" fontId="7" fillId="0" borderId="0" xfId="0" applyNumberFormat="1" applyFont="1" applyBorder="1" applyAlignment="1">
      <alignment horizontal="center" vertical="center"/>
    </xf>
    <xf numFmtId="178" fontId="8" fillId="0" borderId="2" xfId="0" applyNumberFormat="1" applyFont="1" applyBorder="1" applyAlignment="1">
      <alignment horizontal="center" vertical="center"/>
    </xf>
    <xf numFmtId="176" fontId="8" fillId="0" borderId="2" xfId="0" applyNumberFormat="1" applyFont="1" applyBorder="1" applyAlignment="1">
      <alignment horizontal="center" vertical="center"/>
    </xf>
    <xf numFmtId="0" fontId="8" fillId="0" borderId="2" xfId="0" applyFont="1" applyBorder="1" applyAlignment="1">
      <alignment horizontal="center" vertical="center"/>
    </xf>
    <xf numFmtId="177" fontId="1" fillId="0" borderId="2" xfId="0" applyNumberFormat="1" applyFont="1" applyBorder="1" applyAlignment="1">
      <alignment horizontal="center" vertical="center"/>
    </xf>
    <xf numFmtId="178" fontId="1" fillId="0" borderId="2" xfId="0" applyNumberFormat="1" applyFont="1" applyBorder="1" applyAlignment="1">
      <alignment vertical="center"/>
    </xf>
    <xf numFmtId="9" fontId="1" fillId="0" borderId="2" xfId="11" applyNumberFormat="1" applyFont="1" applyBorder="1" applyAlignment="1">
      <alignment horizontal="center" vertical="center"/>
    </xf>
    <xf numFmtId="178" fontId="1" fillId="0" borderId="2" xfId="0" applyNumberFormat="1" applyFont="1" applyFill="1" applyBorder="1" applyAlignment="1">
      <alignment vertical="center"/>
    </xf>
    <xf numFmtId="178" fontId="1" fillId="2" borderId="2" xfId="0" applyNumberFormat="1" applyFont="1" applyFill="1" applyBorder="1" applyAlignment="1">
      <alignment vertical="center"/>
    </xf>
    <xf numFmtId="177" fontId="2" fillId="0" borderId="2" xfId="0" applyNumberFormat="1" applyFont="1" applyBorder="1" applyAlignment="1">
      <alignment horizontal="center" vertical="center"/>
    </xf>
    <xf numFmtId="9" fontId="2" fillId="0" borderId="2" xfId="11" applyNumberFormat="1" applyFont="1" applyBorder="1" applyAlignment="1">
      <alignment horizontal="center" vertical="center"/>
    </xf>
    <xf numFmtId="178" fontId="2" fillId="0" borderId="2" xfId="0" applyNumberFormat="1" applyFont="1" applyFill="1" applyBorder="1" applyAlignment="1">
      <alignment vertical="center"/>
    </xf>
    <xf numFmtId="177" fontId="8" fillId="0" borderId="2" xfId="0" applyNumberFormat="1" applyFont="1" applyBorder="1" applyAlignment="1">
      <alignment vertical="center"/>
    </xf>
    <xf numFmtId="178" fontId="8" fillId="3" borderId="2" xfId="0" applyNumberFormat="1" applyFont="1" applyFill="1" applyBorder="1" applyAlignment="1">
      <alignment vertical="center"/>
    </xf>
    <xf numFmtId="178" fontId="8" fillId="0" borderId="2" xfId="0" applyNumberFormat="1" applyFont="1" applyBorder="1" applyAlignment="1">
      <alignment vertical="center"/>
    </xf>
    <xf numFmtId="178" fontId="8" fillId="4" borderId="2" xfId="0" applyNumberFormat="1" applyFont="1" applyFill="1" applyBorder="1" applyAlignment="1">
      <alignment vertical="center"/>
    </xf>
    <xf numFmtId="0" fontId="2" fillId="0" borderId="2" xfId="0" applyFont="1" applyBorder="1" applyAlignment="1">
      <alignment vertical="center"/>
    </xf>
    <xf numFmtId="177" fontId="8" fillId="0" borderId="2" xfId="0" applyNumberFormat="1" applyFont="1" applyBorder="1" applyAlignment="1">
      <alignment horizontal="center" vertical="center"/>
    </xf>
    <xf numFmtId="9" fontId="1" fillId="5" borderId="2" xfId="11" applyNumberFormat="1" applyFont="1" applyFill="1" applyBorder="1" applyAlignment="1">
      <alignment horizontal="center" vertical="center"/>
    </xf>
    <xf numFmtId="179" fontId="2" fillId="0" borderId="2" xfId="0" applyNumberFormat="1" applyFont="1" applyBorder="1" applyAlignment="1">
      <alignment horizontal="left" vertical="center"/>
    </xf>
    <xf numFmtId="180" fontId="1" fillId="0" borderId="2" xfId="0" applyNumberFormat="1" applyFont="1" applyBorder="1" applyAlignment="1">
      <alignment horizontal="center" vertical="center"/>
    </xf>
    <xf numFmtId="181" fontId="1" fillId="0" borderId="2" xfId="0" applyNumberFormat="1" applyFont="1" applyBorder="1" applyAlignment="1">
      <alignment horizontal="center" vertical="center"/>
    </xf>
    <xf numFmtId="0" fontId="1" fillId="0" borderId="2" xfId="0" applyNumberFormat="1" applyFont="1" applyBorder="1" applyAlignment="1">
      <alignment horizontal="center" vertical="center"/>
    </xf>
    <xf numFmtId="9" fontId="1" fillId="5" borderId="2" xfId="11" applyFont="1" applyFill="1" applyBorder="1" applyAlignment="1">
      <alignment horizontal="center" vertical="center"/>
    </xf>
    <xf numFmtId="179" fontId="2" fillId="0" borderId="2" xfId="0" applyNumberFormat="1" applyFont="1" applyBorder="1" applyAlignment="1">
      <alignment horizontal="center" vertical="center"/>
    </xf>
    <xf numFmtId="0" fontId="8" fillId="0" borderId="2" xfId="0" applyNumberFormat="1" applyFont="1" applyBorder="1" applyAlignment="1">
      <alignment vertical="center"/>
    </xf>
    <xf numFmtId="178" fontId="8" fillId="0" borderId="3" xfId="0" applyNumberFormat="1" applyFont="1" applyBorder="1" applyAlignment="1">
      <alignment vertical="center"/>
    </xf>
    <xf numFmtId="0" fontId="8" fillId="0" borderId="2" xfId="0" applyFont="1" applyBorder="1" applyAlignment="1">
      <alignment vertical="center"/>
    </xf>
    <xf numFmtId="178" fontId="8" fillId="0" borderId="0" xfId="0" applyNumberFormat="1" applyFont="1" applyBorder="1" applyAlignment="1">
      <alignment vertical="center"/>
    </xf>
    <xf numFmtId="0" fontId="8" fillId="0" borderId="0" xfId="0" applyNumberFormat="1" applyFont="1" applyBorder="1" applyAlignment="1">
      <alignment vertical="center"/>
    </xf>
    <xf numFmtId="176" fontId="8" fillId="0" borderId="0" xfId="0" applyNumberFormat="1" applyFont="1" applyBorder="1" applyAlignment="1">
      <alignment vertical="center"/>
    </xf>
    <xf numFmtId="0" fontId="2" fillId="0" borderId="0" xfId="0" applyFont="1" applyBorder="1" applyAlignment="1">
      <alignment horizontal="center" vertical="center"/>
    </xf>
    <xf numFmtId="176" fontId="2" fillId="0" borderId="2" xfId="0" applyNumberFormat="1" applyFont="1" applyBorder="1" applyAlignment="1">
      <alignment vertical="center"/>
    </xf>
    <xf numFmtId="176" fontId="2" fillId="0" borderId="2" xfId="0" applyNumberFormat="1" applyFont="1" applyBorder="1" applyAlignment="1">
      <alignment horizontal="right" vertical="center"/>
    </xf>
    <xf numFmtId="177" fontId="2" fillId="0" borderId="2" xfId="0" applyNumberFormat="1" applyFont="1" applyBorder="1" applyAlignment="1">
      <alignment horizontal="right" vertical="center"/>
    </xf>
    <xf numFmtId="176" fontId="8" fillId="3" borderId="2" xfId="0" applyNumberFormat="1" applyFont="1" applyFill="1" applyBorder="1" applyAlignment="1">
      <alignment vertical="center"/>
    </xf>
    <xf numFmtId="177" fontId="7" fillId="0" borderId="0" xfId="0" applyNumberFormat="1" applyFont="1" applyBorder="1" applyAlignment="1">
      <alignment horizontal="center" vertical="center" wrapText="1"/>
    </xf>
    <xf numFmtId="176" fontId="2" fillId="0" borderId="4" xfId="0" applyNumberFormat="1" applyFont="1" applyBorder="1" applyAlignment="1">
      <alignment horizontal="left" vertical="center"/>
    </xf>
    <xf numFmtId="177" fontId="2" fillId="0" borderId="5" xfId="0" applyNumberFormat="1" applyFont="1" applyBorder="1" applyAlignment="1">
      <alignment horizontal="left" vertical="center"/>
    </xf>
    <xf numFmtId="177" fontId="2" fillId="6" borderId="0" xfId="0" applyNumberFormat="1" applyFont="1" applyFill="1" applyBorder="1" applyAlignment="1">
      <alignment horizontal="center" vertical="center" wrapText="1"/>
    </xf>
    <xf numFmtId="176" fontId="7" fillId="0" borderId="0" xfId="0" applyNumberFormat="1" applyFont="1" applyBorder="1" applyAlignment="1">
      <alignment horizontal="center" vertical="center"/>
    </xf>
    <xf numFmtId="177" fontId="9" fillId="0" borderId="0" xfId="0" applyNumberFormat="1" applyFont="1" applyBorder="1" applyAlignment="1">
      <alignment horizontal="center" vertical="center" wrapText="1"/>
    </xf>
    <xf numFmtId="0" fontId="2" fillId="0" borderId="2" xfId="0" applyFont="1" applyBorder="1" applyAlignment="1">
      <alignment horizontal="center" vertical="center"/>
    </xf>
    <xf numFmtId="178" fontId="2" fillId="0" borderId="0" xfId="0" applyNumberFormat="1" applyFont="1" applyBorder="1" applyAlignment="1">
      <alignment vertical="center" wrapText="1"/>
    </xf>
    <xf numFmtId="10" fontId="2" fillId="0" borderId="0" xfId="0" applyNumberFormat="1" applyFont="1" applyBorder="1" applyAlignment="1">
      <alignment vertical="center" wrapText="1"/>
    </xf>
    <xf numFmtId="10"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78" fontId="2" fillId="0" borderId="2" xfId="0" applyNumberFormat="1" applyFont="1" applyBorder="1" applyAlignment="1">
      <alignment horizontal="left" vertical="center"/>
    </xf>
    <xf numFmtId="0" fontId="2" fillId="0" borderId="2" xfId="0" applyFont="1" applyBorder="1" applyAlignment="1">
      <alignment horizontal="left" vertical="center"/>
    </xf>
    <xf numFmtId="10"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178" fontId="1" fillId="0" borderId="2" xfId="0" applyNumberFormat="1" applyFont="1" applyBorder="1" applyAlignment="1">
      <alignment horizontal="left" vertical="center"/>
    </xf>
    <xf numFmtId="0" fontId="1" fillId="0" borderId="2" xfId="0" applyFont="1" applyBorder="1" applyAlignment="1">
      <alignment horizontal="left" vertical="center"/>
    </xf>
    <xf numFmtId="0" fontId="1"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2" fillId="0" borderId="0" xfId="0" applyFont="1" applyAlignment="1">
      <alignment horizontal="left" wrapText="1"/>
    </xf>
    <xf numFmtId="0" fontId="10" fillId="0" borderId="2" xfId="0" applyFont="1" applyBorder="1" applyAlignment="1">
      <alignment vertical="center"/>
    </xf>
    <xf numFmtId="0" fontId="2" fillId="0" borderId="2" xfId="0" applyNumberFormat="1" applyFont="1" applyBorder="1" applyAlignment="1">
      <alignment horizontal="left" vertical="center" wrapText="1"/>
    </xf>
    <xf numFmtId="0" fontId="10" fillId="0" borderId="2" xfId="0" applyFont="1" applyBorder="1" applyAlignment="1">
      <alignment horizontal="center" vertical="center"/>
    </xf>
    <xf numFmtId="178" fontId="10" fillId="0" borderId="2" xfId="0" applyNumberFormat="1" applyFont="1" applyBorder="1" applyAlignment="1">
      <alignment horizontal="left" vertical="center"/>
    </xf>
    <xf numFmtId="0" fontId="10" fillId="0" borderId="2" xfId="0" applyFont="1" applyBorder="1" applyAlignment="1">
      <alignment horizontal="left" vertical="center"/>
    </xf>
    <xf numFmtId="10" fontId="10" fillId="0" borderId="2" xfId="0" applyNumberFormat="1" applyFont="1" applyBorder="1" applyAlignment="1">
      <alignment horizontal="left" vertical="center" wrapText="1"/>
    </xf>
    <xf numFmtId="178" fontId="10" fillId="0" borderId="2" xfId="0" applyNumberFormat="1" applyFont="1" applyBorder="1" applyAlignment="1">
      <alignment horizontal="right" vertical="center"/>
    </xf>
    <xf numFmtId="0" fontId="10" fillId="0" borderId="2" xfId="0" applyNumberFormat="1" applyFont="1" applyBorder="1" applyAlignment="1">
      <alignment horizontal="left" vertical="center" wrapText="1"/>
    </xf>
    <xf numFmtId="0" fontId="10" fillId="0" borderId="2" xfId="0" applyNumberFormat="1" applyFont="1" applyBorder="1" applyAlignment="1">
      <alignment vertical="center" wrapText="1"/>
    </xf>
    <xf numFmtId="178" fontId="10" fillId="0" borderId="2" xfId="0" applyNumberFormat="1" applyFont="1" applyBorder="1" applyAlignment="1">
      <alignment vertical="center"/>
    </xf>
    <xf numFmtId="0" fontId="1" fillId="0" borderId="2" xfId="0" applyFont="1" applyBorder="1" applyAlignment="1">
      <alignment vertical="center" wrapText="1"/>
    </xf>
    <xf numFmtId="0" fontId="1" fillId="0" borderId="2" xfId="0" applyNumberFormat="1" applyFont="1" applyBorder="1" applyAlignment="1">
      <alignment vertical="center" wrapText="1"/>
    </xf>
    <xf numFmtId="0" fontId="2" fillId="0" borderId="5" xfId="0" applyFont="1" applyBorder="1" applyAlignment="1">
      <alignment vertical="center"/>
    </xf>
    <xf numFmtId="0" fontId="8" fillId="0" borderId="2" xfId="0" applyNumberFormat="1" applyFont="1" applyBorder="1" applyAlignment="1">
      <alignment vertical="center" wrapText="1"/>
    </xf>
    <xf numFmtId="0" fontId="2" fillId="0" borderId="2" xfId="0" applyFont="1" applyBorder="1" applyAlignment="1">
      <alignment vertical="center" wrapText="1"/>
    </xf>
    <xf numFmtId="10" fontId="8" fillId="0" borderId="0" xfId="0" applyNumberFormat="1" applyFont="1" applyBorder="1" applyAlignment="1">
      <alignment vertical="center" wrapText="1"/>
    </xf>
    <xf numFmtId="176" fontId="8" fillId="4"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387985</xdr:colOff>
      <xdr:row>50</xdr:row>
      <xdr:rowOff>36195</xdr:rowOff>
    </xdr:from>
    <xdr:to>
      <xdr:col>3</xdr:col>
      <xdr:colOff>1129030</xdr:colOff>
      <xdr:row>61</xdr:row>
      <xdr:rowOff>76200</xdr:rowOff>
    </xdr:to>
    <xdr:pic>
      <xdr:nvPicPr>
        <xdr:cNvPr id="2" name="图片 1" descr="UU4ER{(MBH{TNI0QB%]510I"/>
        <xdr:cNvPicPr>
          <a:picLocks noChangeAspect="1"/>
        </xdr:cNvPicPr>
      </xdr:nvPicPr>
      <xdr:blipFill>
        <a:blip r:embed="rId1"/>
        <a:stretch>
          <a:fillRect/>
        </a:stretch>
      </xdr:blipFill>
      <xdr:spPr>
        <a:xfrm>
          <a:off x="2207895" y="10639425"/>
          <a:ext cx="1198245" cy="18688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69"/>
  <sheetViews>
    <sheetView tabSelected="1" workbookViewId="0">
      <selection activeCell="K7" sqref="K7"/>
    </sheetView>
  </sheetViews>
  <sheetFormatPr defaultColWidth="9" defaultRowHeight="11.25"/>
  <cols>
    <col min="1" max="1" width="10.775" style="2" customWidth="1"/>
    <col min="2" max="2" width="13.1083333333333" style="3" customWidth="1"/>
    <col min="3" max="3" width="6" style="4" customWidth="1"/>
    <col min="4" max="4" width="15.8833333333333" style="4" customWidth="1"/>
    <col min="5" max="5" width="6" style="4" customWidth="1"/>
    <col min="6" max="6" width="13.1083333333333" style="3" customWidth="1"/>
    <col min="7" max="7" width="14.1083333333333" style="3" customWidth="1"/>
    <col min="8" max="8" width="9.66666666666667" style="4" customWidth="1"/>
    <col min="9" max="9" width="13.8833333333333" style="3" customWidth="1"/>
    <col min="10" max="10" width="7.66666666666667" style="5" customWidth="1"/>
    <col min="11" max="11" width="45.375" style="6" customWidth="1"/>
    <col min="12" max="12" width="22.1083333333333" style="6" customWidth="1"/>
    <col min="13" max="13" width="30.75" style="7" customWidth="1"/>
    <col min="14" max="14" width="5.66666666666667" style="7" customWidth="1"/>
    <col min="15" max="15" width="13.2166666666667" style="7" customWidth="1"/>
    <col min="16" max="16384" width="9" style="7"/>
  </cols>
  <sheetData>
    <row r="1" ht="21.9" customHeight="1" spans="1:12">
      <c r="A1" s="8" t="s">
        <v>0</v>
      </c>
      <c r="B1" s="9"/>
      <c r="C1" s="9"/>
      <c r="D1" s="9"/>
      <c r="E1" s="9"/>
      <c r="F1" s="10"/>
      <c r="G1" s="10"/>
      <c r="H1" s="9"/>
      <c r="I1" s="10"/>
      <c r="J1" s="9"/>
      <c r="K1" s="57"/>
      <c r="L1" s="57"/>
    </row>
    <row r="2" ht="21" customHeight="1" spans="1:12">
      <c r="A2" s="11" t="s">
        <v>1</v>
      </c>
      <c r="B2" s="12" t="s">
        <v>2</v>
      </c>
      <c r="C2" s="13" t="s">
        <v>3</v>
      </c>
      <c r="D2" s="14">
        <v>10995576.8</v>
      </c>
      <c r="E2" s="15" t="s">
        <v>4</v>
      </c>
      <c r="F2" s="16" t="s">
        <v>5</v>
      </c>
      <c r="G2" s="17" t="s">
        <v>6</v>
      </c>
      <c r="H2" s="18" t="s">
        <v>7</v>
      </c>
      <c r="I2" s="58"/>
      <c r="J2" s="59"/>
      <c r="K2" s="60" t="s">
        <v>8</v>
      </c>
      <c r="L2" s="57"/>
    </row>
    <row r="3" ht="18" customHeight="1" spans="1:12">
      <c r="A3" s="11" t="s">
        <v>9</v>
      </c>
      <c r="B3" s="19"/>
      <c r="C3" s="13" t="s">
        <v>10</v>
      </c>
      <c r="D3" s="20"/>
      <c r="H3" s="21"/>
      <c r="I3" s="61"/>
      <c r="J3" s="21"/>
      <c r="K3" s="62" t="s">
        <v>11</v>
      </c>
      <c r="L3" s="57"/>
    </row>
    <row r="4" ht="18" customHeight="1" spans="1:12">
      <c r="A4" s="2" t="s">
        <v>12</v>
      </c>
      <c r="H4" s="21"/>
      <c r="I4" s="61"/>
      <c r="J4" s="21"/>
      <c r="K4" s="57"/>
      <c r="L4" s="57"/>
    </row>
    <row r="5" ht="18" customHeight="1" spans="1:10">
      <c r="A5" s="22" t="s">
        <v>13</v>
      </c>
      <c r="B5" s="23" t="s">
        <v>14</v>
      </c>
      <c r="C5" s="22" t="s">
        <v>15</v>
      </c>
      <c r="D5" s="22"/>
      <c r="E5" s="22" t="s">
        <v>16</v>
      </c>
      <c r="F5" s="23"/>
      <c r="G5" s="23" t="s">
        <v>17</v>
      </c>
      <c r="H5" s="24" t="s">
        <v>18</v>
      </c>
      <c r="I5" s="23"/>
      <c r="J5" s="24"/>
    </row>
    <row r="6" ht="18" customHeight="1" spans="1:10">
      <c r="A6" s="22"/>
      <c r="B6" s="23"/>
      <c r="C6" s="22" t="s">
        <v>19</v>
      </c>
      <c r="D6" s="22" t="s">
        <v>20</v>
      </c>
      <c r="E6" s="22" t="s">
        <v>19</v>
      </c>
      <c r="F6" s="23" t="s">
        <v>20</v>
      </c>
      <c r="G6" s="23"/>
      <c r="H6" s="24" t="s">
        <v>21</v>
      </c>
      <c r="I6" s="23" t="s">
        <v>22</v>
      </c>
      <c r="J6" s="24" t="s">
        <v>23</v>
      </c>
    </row>
    <row r="7" ht="18" customHeight="1" spans="1:10">
      <c r="A7" s="25">
        <v>44645</v>
      </c>
      <c r="B7" s="26">
        <f t="shared" ref="B7:B10" si="0">G7/(1+C7+E7)</f>
        <v>5704836.78899082</v>
      </c>
      <c r="C7" s="27">
        <v>0.02</v>
      </c>
      <c r="D7" s="28">
        <f t="shared" ref="D7:D10" si="1">G7/(1+E7+C7)*C7</f>
        <v>114096.735779816</v>
      </c>
      <c r="E7" s="27">
        <v>0.07</v>
      </c>
      <c r="F7" s="26">
        <f t="shared" ref="F7:F10" si="2">G7/(1+C7+E7)*E7</f>
        <v>399338.575229358</v>
      </c>
      <c r="G7" s="29">
        <v>6218272.1</v>
      </c>
      <c r="H7" s="30">
        <v>44519</v>
      </c>
      <c r="I7" s="13">
        <v>1000000</v>
      </c>
      <c r="J7" s="63" t="s">
        <v>24</v>
      </c>
    </row>
    <row r="8" ht="18" customHeight="1" spans="1:10">
      <c r="A8" s="30"/>
      <c r="B8" s="13">
        <f t="shared" si="0"/>
        <v>0</v>
      </c>
      <c r="C8" s="31">
        <v>0.02</v>
      </c>
      <c r="D8" s="32">
        <f t="shared" si="1"/>
        <v>0</v>
      </c>
      <c r="E8" s="31">
        <v>0.07</v>
      </c>
      <c r="F8" s="13">
        <f t="shared" si="2"/>
        <v>0</v>
      </c>
      <c r="G8" s="29"/>
      <c r="H8" s="30">
        <v>44588</v>
      </c>
      <c r="I8" s="13">
        <v>4950000</v>
      </c>
      <c r="J8" s="63" t="s">
        <v>24</v>
      </c>
    </row>
    <row r="9" ht="18" customHeight="1" spans="1:10">
      <c r="A9" s="30"/>
      <c r="B9" s="13">
        <f t="shared" si="0"/>
        <v>0</v>
      </c>
      <c r="C9" s="31">
        <v>0.02</v>
      </c>
      <c r="D9" s="32">
        <f t="shared" si="1"/>
        <v>0</v>
      </c>
      <c r="E9" s="31">
        <v>0.07</v>
      </c>
      <c r="F9" s="13">
        <f t="shared" si="2"/>
        <v>0</v>
      </c>
      <c r="G9" s="29"/>
      <c r="H9" s="30">
        <v>44679</v>
      </c>
      <c r="I9" s="13">
        <v>400000</v>
      </c>
      <c r="J9" s="63" t="s">
        <v>24</v>
      </c>
    </row>
    <row r="10" ht="18" customHeight="1" spans="1:10">
      <c r="A10" s="30"/>
      <c r="B10" s="13">
        <f t="shared" si="0"/>
        <v>0</v>
      </c>
      <c r="C10" s="31">
        <v>0.02</v>
      </c>
      <c r="D10" s="32">
        <f t="shared" si="1"/>
        <v>0</v>
      </c>
      <c r="E10" s="31">
        <v>0.07</v>
      </c>
      <c r="F10" s="13">
        <f t="shared" si="2"/>
        <v>0</v>
      </c>
      <c r="G10" s="29"/>
      <c r="H10" s="30"/>
      <c r="I10" s="13"/>
      <c r="J10" s="63"/>
    </row>
    <row r="11" ht="18" customHeight="1" spans="1:10">
      <c r="A11" s="33" t="s">
        <v>25</v>
      </c>
      <c r="B11" s="34">
        <f>SUM(B7:B10)</f>
        <v>5704836.78899082</v>
      </c>
      <c r="C11" s="35"/>
      <c r="D11" s="35">
        <f>SUM(D7:D10)</f>
        <v>114096.735779816</v>
      </c>
      <c r="E11" s="35"/>
      <c r="F11" s="36">
        <f>SUM(F7:F10)</f>
        <v>399338.575229358</v>
      </c>
      <c r="G11" s="35">
        <f>SUM(G7:G10)</f>
        <v>6218272.1</v>
      </c>
      <c r="H11" s="37"/>
      <c r="I11" s="35">
        <f>SUM(I7:I10)</f>
        <v>6350000</v>
      </c>
      <c r="J11" s="37"/>
    </row>
    <row r="12" ht="18" customHeight="1" spans="1:12">
      <c r="A12" s="2" t="s">
        <v>26</v>
      </c>
      <c r="J12" s="4"/>
      <c r="K12" s="64"/>
      <c r="L12" s="65"/>
    </row>
    <row r="13" ht="18" customHeight="1" spans="1:15">
      <c r="A13" s="38" t="s">
        <v>27</v>
      </c>
      <c r="B13" s="23" t="s">
        <v>28</v>
      </c>
      <c r="C13" s="22" t="s">
        <v>29</v>
      </c>
      <c r="D13" s="22" t="s">
        <v>30</v>
      </c>
      <c r="E13" s="22" t="s">
        <v>19</v>
      </c>
      <c r="F13" s="23" t="s">
        <v>31</v>
      </c>
      <c r="G13" s="23" t="s">
        <v>17</v>
      </c>
      <c r="H13" s="22" t="s">
        <v>32</v>
      </c>
      <c r="I13" s="23" t="s">
        <v>33</v>
      </c>
      <c r="J13" s="22" t="s">
        <v>23</v>
      </c>
      <c r="K13" s="66" t="s">
        <v>34</v>
      </c>
      <c r="L13" s="67" t="s">
        <v>35</v>
      </c>
      <c r="M13" s="24" t="s">
        <v>36</v>
      </c>
      <c r="N13" s="24" t="s">
        <v>37</v>
      </c>
      <c r="O13" s="24" t="s">
        <v>38</v>
      </c>
    </row>
    <row r="14" customFormat="1" ht="18" customHeight="1" spans="1:15">
      <c r="A14" s="38"/>
      <c r="B14" s="23"/>
      <c r="C14" s="22"/>
      <c r="D14" s="22"/>
      <c r="E14" s="39"/>
      <c r="F14" s="23"/>
      <c r="G14" s="29"/>
      <c r="H14" s="40">
        <v>44519</v>
      </c>
      <c r="I14" s="68">
        <v>800000</v>
      </c>
      <c r="J14" s="69" t="s">
        <v>39</v>
      </c>
      <c r="K14" s="70" t="s">
        <v>40</v>
      </c>
      <c r="L14" s="71" t="s">
        <v>41</v>
      </c>
      <c r="M14" s="63" t="s">
        <v>42</v>
      </c>
      <c r="N14" s="24"/>
      <c r="O14" s="24"/>
    </row>
    <row r="15" s="1" customFormat="1" ht="18" hidden="1" customHeight="1" spans="1:15">
      <c r="A15" s="41"/>
      <c r="B15" s="26">
        <f t="shared" ref="B15:B21" si="3">ROUND(G15/(1+E15),2)</f>
        <v>0</v>
      </c>
      <c r="C15" s="42">
        <v>1</v>
      </c>
      <c r="D15" s="43"/>
      <c r="E15" s="39"/>
      <c r="F15" s="26">
        <f t="shared" ref="F15:F21" si="4">ROUND(G15/(1+E15)*E15,2)</f>
        <v>0</v>
      </c>
      <c r="G15" s="29"/>
      <c r="H15" s="40">
        <v>44579</v>
      </c>
      <c r="I15" s="72">
        <v>-549839.7</v>
      </c>
      <c r="J15" s="73" t="s">
        <v>43</v>
      </c>
      <c r="K15" s="74" t="s">
        <v>44</v>
      </c>
      <c r="L15" s="75"/>
      <c r="M15" s="76"/>
      <c r="N15" s="76"/>
      <c r="O15" s="77"/>
    </row>
    <row r="16" s="1" customFormat="1" ht="23" hidden="1" customHeight="1" spans="1:15">
      <c r="A16" s="41"/>
      <c r="B16" s="26">
        <f t="shared" si="3"/>
        <v>0</v>
      </c>
      <c r="C16" s="42"/>
      <c r="D16" s="43"/>
      <c r="E16" s="39"/>
      <c r="F16" s="26">
        <f t="shared" si="4"/>
        <v>0</v>
      </c>
      <c r="G16" s="29"/>
      <c r="H16" s="40">
        <v>44579</v>
      </c>
      <c r="I16" s="68">
        <v>117939.7</v>
      </c>
      <c r="J16" s="69" t="s">
        <v>39</v>
      </c>
      <c r="K16" s="78" t="s">
        <v>45</v>
      </c>
      <c r="L16" s="75" t="s">
        <v>46</v>
      </c>
      <c r="M16" s="76"/>
      <c r="N16" s="76"/>
      <c r="O16" s="79"/>
    </row>
    <row r="17" s="1" customFormat="1" ht="18" hidden="1" customHeight="1" spans="1:15">
      <c r="A17" s="41"/>
      <c r="B17" s="26">
        <f t="shared" si="3"/>
        <v>0</v>
      </c>
      <c r="C17" s="42"/>
      <c r="D17" s="43"/>
      <c r="E17" s="39"/>
      <c r="F17" s="26">
        <f t="shared" si="4"/>
        <v>0</v>
      </c>
      <c r="G17" s="29"/>
      <c r="H17" s="40">
        <v>44579</v>
      </c>
      <c r="I17" s="68">
        <v>431900</v>
      </c>
      <c r="J17" s="69" t="s">
        <v>39</v>
      </c>
      <c r="K17" s="80" t="s">
        <v>47</v>
      </c>
      <c r="L17" s="75" t="s">
        <v>48</v>
      </c>
      <c r="M17" s="81"/>
      <c r="N17" s="76"/>
      <c r="O17" s="77"/>
    </row>
    <row r="18" s="1" customFormat="1" ht="18" hidden="1" customHeight="1" spans="1:15">
      <c r="A18" s="41"/>
      <c r="B18" s="26">
        <f t="shared" si="3"/>
        <v>0</v>
      </c>
      <c r="C18" s="42"/>
      <c r="D18" s="43"/>
      <c r="E18" s="44"/>
      <c r="F18" s="26">
        <f t="shared" si="4"/>
        <v>0</v>
      </c>
      <c r="G18" s="29"/>
      <c r="H18" s="40">
        <v>44589</v>
      </c>
      <c r="I18" s="68">
        <v>549839.7</v>
      </c>
      <c r="J18" s="69" t="s">
        <v>49</v>
      </c>
      <c r="K18" s="80" t="s">
        <v>50</v>
      </c>
      <c r="L18" s="75"/>
      <c r="M18" s="81"/>
      <c r="N18" s="76"/>
      <c r="O18" s="77"/>
    </row>
    <row r="19" s="1" customFormat="1" ht="18" customHeight="1" spans="1:15">
      <c r="A19" s="41"/>
      <c r="B19" s="26">
        <f t="shared" si="3"/>
        <v>0</v>
      </c>
      <c r="C19" s="42"/>
      <c r="D19" s="43"/>
      <c r="E19" s="39">
        <v>0</v>
      </c>
      <c r="F19" s="26">
        <f t="shared" si="4"/>
        <v>0</v>
      </c>
      <c r="G19" s="29"/>
      <c r="H19" s="40">
        <v>44590</v>
      </c>
      <c r="I19" s="68">
        <v>4200000</v>
      </c>
      <c r="J19" s="69" t="s">
        <v>39</v>
      </c>
      <c r="K19" s="74" t="s">
        <v>40</v>
      </c>
      <c r="L19" s="75" t="s">
        <v>51</v>
      </c>
      <c r="M19" s="63" t="s">
        <v>42</v>
      </c>
      <c r="N19" s="76"/>
      <c r="O19" s="77"/>
    </row>
    <row r="20" s="1" customFormat="1" ht="18" customHeight="1" spans="1:15">
      <c r="A20" s="41">
        <v>44621</v>
      </c>
      <c r="B20" s="26">
        <f t="shared" si="3"/>
        <v>438868.67</v>
      </c>
      <c r="C20" s="42">
        <v>5</v>
      </c>
      <c r="D20" s="43" t="s">
        <v>52</v>
      </c>
      <c r="E20" s="39">
        <v>0.13</v>
      </c>
      <c r="F20" s="26">
        <f t="shared" si="4"/>
        <v>57052.93</v>
      </c>
      <c r="G20" s="29">
        <f>99184.32*5</f>
        <v>495921.6</v>
      </c>
      <c r="H20" s="40"/>
      <c r="I20" s="68"/>
      <c r="J20" s="69"/>
      <c r="K20" s="70" t="s">
        <v>40</v>
      </c>
      <c r="L20" s="71" t="s">
        <v>41</v>
      </c>
      <c r="M20" s="63" t="s">
        <v>42</v>
      </c>
      <c r="N20" s="76"/>
      <c r="O20" s="77"/>
    </row>
    <row r="21" s="1" customFormat="1" ht="18" customHeight="1" spans="1:15">
      <c r="A21" s="41">
        <v>44621</v>
      </c>
      <c r="B21" s="26">
        <f t="shared" ref="B21:B31" si="5">ROUND(G21/(1+E21),2)</f>
        <v>2644051.77</v>
      </c>
      <c r="C21" s="42">
        <v>27</v>
      </c>
      <c r="D21" s="43" t="s">
        <v>52</v>
      </c>
      <c r="E21" s="39">
        <v>0.13</v>
      </c>
      <c r="F21" s="26">
        <f t="shared" ref="F21:F26" si="6">ROUND(G21/(1+E21)*E21,2)</f>
        <v>343726.73</v>
      </c>
      <c r="G21" s="29">
        <f>111892.9*26+78563.1</f>
        <v>2987778.5</v>
      </c>
      <c r="H21" s="40"/>
      <c r="I21" s="68"/>
      <c r="J21" s="69"/>
      <c r="K21" s="70" t="s">
        <v>40</v>
      </c>
      <c r="L21" s="71" t="s">
        <v>41</v>
      </c>
      <c r="M21" s="63" t="s">
        <v>42</v>
      </c>
      <c r="N21" s="76"/>
      <c r="O21" s="77"/>
    </row>
    <row r="22" s="1" customFormat="1" ht="18" customHeight="1" spans="1:15">
      <c r="A22" s="41">
        <v>44682</v>
      </c>
      <c r="B22" s="26">
        <f t="shared" si="5"/>
        <v>2275826.25</v>
      </c>
      <c r="C22" s="42">
        <v>25</v>
      </c>
      <c r="D22" s="43" t="s">
        <v>52</v>
      </c>
      <c r="E22" s="39">
        <v>0.13</v>
      </c>
      <c r="F22" s="26">
        <f t="shared" si="6"/>
        <v>295857.41</v>
      </c>
      <c r="G22" s="29">
        <f>8634.96+107937+46162.62+74299.46+112647.63*9+78561.8+112932.65*11</f>
        <v>2571683.66</v>
      </c>
      <c r="H22" s="40"/>
      <c r="I22" s="68"/>
      <c r="J22" s="69"/>
      <c r="K22" s="70" t="s">
        <v>40</v>
      </c>
      <c r="L22" s="71" t="s">
        <v>41</v>
      </c>
      <c r="M22" s="63" t="s">
        <v>42</v>
      </c>
      <c r="N22" s="76"/>
      <c r="O22" s="77"/>
    </row>
    <row r="23" s="1" customFormat="1" ht="18" customHeight="1" spans="1:15">
      <c r="A23" s="41"/>
      <c r="B23" s="26">
        <f t="shared" si="5"/>
        <v>0</v>
      </c>
      <c r="C23" s="42"/>
      <c r="D23" s="43"/>
      <c r="E23" s="44"/>
      <c r="F23" s="26">
        <f t="shared" si="6"/>
        <v>0</v>
      </c>
      <c r="G23" s="29"/>
      <c r="H23" s="40"/>
      <c r="I23" s="82">
        <v>600000</v>
      </c>
      <c r="J23" s="83" t="s">
        <v>39</v>
      </c>
      <c r="K23" s="84" t="s">
        <v>40</v>
      </c>
      <c r="L23" s="71" t="s">
        <v>41</v>
      </c>
      <c r="M23" s="76"/>
      <c r="N23" s="76"/>
      <c r="O23" s="77"/>
    </row>
    <row r="24" s="1" customFormat="1" ht="18" customHeight="1" spans="1:15">
      <c r="A24" s="41"/>
      <c r="B24" s="26">
        <f t="shared" si="5"/>
        <v>0</v>
      </c>
      <c r="C24" s="42"/>
      <c r="D24" s="43"/>
      <c r="E24" s="44"/>
      <c r="F24" s="26">
        <f t="shared" si="6"/>
        <v>0</v>
      </c>
      <c r="G24" s="29"/>
      <c r="H24" s="40"/>
      <c r="I24" s="68"/>
      <c r="J24" s="69"/>
      <c r="K24" s="74"/>
      <c r="L24" s="75"/>
      <c r="M24" s="76"/>
      <c r="N24" s="76"/>
      <c r="O24" s="77"/>
    </row>
    <row r="25" s="1" customFormat="1" ht="18" customHeight="1" spans="1:15">
      <c r="A25" s="41"/>
      <c r="B25" s="26">
        <f t="shared" si="5"/>
        <v>0</v>
      </c>
      <c r="C25" s="42"/>
      <c r="D25" s="43"/>
      <c r="E25" s="44"/>
      <c r="F25" s="26">
        <f t="shared" si="6"/>
        <v>0</v>
      </c>
      <c r="G25" s="29"/>
      <c r="H25" s="40"/>
      <c r="I25" s="68"/>
      <c r="J25" s="69"/>
      <c r="K25" s="74"/>
      <c r="L25" s="75"/>
      <c r="M25" s="76"/>
      <c r="N25" s="76"/>
      <c r="O25" s="77"/>
    </row>
    <row r="26" s="1" customFormat="1" ht="18" customHeight="1" spans="1:15">
      <c r="A26" s="41"/>
      <c r="B26" s="26">
        <f t="shared" si="5"/>
        <v>0</v>
      </c>
      <c r="C26" s="42"/>
      <c r="D26" s="43"/>
      <c r="E26" s="44"/>
      <c r="F26" s="26">
        <f t="shared" si="6"/>
        <v>0</v>
      </c>
      <c r="G26" s="29"/>
      <c r="H26" s="40"/>
      <c r="I26" s="68"/>
      <c r="J26" s="69"/>
      <c r="K26" s="74"/>
      <c r="L26" s="75"/>
      <c r="M26" s="76"/>
      <c r="N26" s="76"/>
      <c r="O26" s="77"/>
    </row>
    <row r="27" s="1" customFormat="1" ht="18" customHeight="1" spans="1:15">
      <c r="A27" s="41"/>
      <c r="B27" s="26">
        <f t="shared" si="5"/>
        <v>0</v>
      </c>
      <c r="C27" s="42"/>
      <c r="D27" s="43"/>
      <c r="E27" s="44"/>
      <c r="F27" s="26"/>
      <c r="G27" s="29"/>
      <c r="H27" s="40"/>
      <c r="I27" s="68"/>
      <c r="J27" s="69"/>
      <c r="K27" s="74"/>
      <c r="L27" s="75"/>
      <c r="M27" s="76"/>
      <c r="N27" s="76"/>
      <c r="O27" s="77"/>
    </row>
    <row r="28" s="1" customFormat="1" ht="18" customHeight="1" spans="1:15">
      <c r="A28" s="41"/>
      <c r="B28" s="26">
        <f t="shared" si="5"/>
        <v>0</v>
      </c>
      <c r="C28" s="42"/>
      <c r="D28" s="43"/>
      <c r="E28" s="44"/>
      <c r="F28" s="26">
        <f>ROUND(G28/(1+E28)*E28,2)</f>
        <v>0</v>
      </c>
      <c r="G28" s="29"/>
      <c r="H28" s="40"/>
      <c r="I28" s="85">
        <v>500</v>
      </c>
      <c r="J28" s="81" t="s">
        <v>53</v>
      </c>
      <c r="K28" s="86" t="s">
        <v>54</v>
      </c>
      <c r="L28" s="75"/>
      <c r="M28" s="76"/>
      <c r="N28" s="76"/>
      <c r="O28" s="77"/>
    </row>
    <row r="29" s="1" customFormat="1" ht="18" customHeight="1" spans="1:15">
      <c r="A29" s="41"/>
      <c r="B29" s="26">
        <f t="shared" si="5"/>
        <v>0</v>
      </c>
      <c r="C29" s="42"/>
      <c r="D29" s="43"/>
      <c r="E29" s="44"/>
      <c r="F29" s="26">
        <f>ROUND(G29/(1+E29)*E29,2)</f>
        <v>0</v>
      </c>
      <c r="G29" s="29"/>
      <c r="H29" s="40"/>
      <c r="I29" s="85">
        <v>100</v>
      </c>
      <c r="J29" s="81" t="s">
        <v>53</v>
      </c>
      <c r="K29" s="87" t="s">
        <v>55</v>
      </c>
      <c r="L29" s="75"/>
      <c r="M29" s="76"/>
      <c r="N29" s="76"/>
      <c r="O29" s="77"/>
    </row>
    <row r="30" s="1" customFormat="1" ht="18" customHeight="1" spans="1:15">
      <c r="A30" s="41"/>
      <c r="B30" s="26">
        <f t="shared" si="5"/>
        <v>0</v>
      </c>
      <c r="C30" s="42"/>
      <c r="D30" s="43"/>
      <c r="E30" s="44"/>
      <c r="F30" s="26">
        <f>ROUND(G30/(1+E30)*E30,2)</f>
        <v>0</v>
      </c>
      <c r="G30" s="29"/>
      <c r="H30" s="45"/>
      <c r="I30" s="88">
        <f>I9*0.01</f>
        <v>4000</v>
      </c>
      <c r="J30" s="81" t="s">
        <v>53</v>
      </c>
      <c r="K30" s="87" t="s">
        <v>56</v>
      </c>
      <c r="L30" s="89"/>
      <c r="M30" s="76"/>
      <c r="N30" s="76"/>
      <c r="O30" s="77"/>
    </row>
    <row r="31" s="1" customFormat="1" ht="18" customHeight="1" spans="1:15">
      <c r="A31" s="41"/>
      <c r="B31" s="26">
        <f t="shared" si="5"/>
        <v>8000</v>
      </c>
      <c r="C31" s="42"/>
      <c r="D31" s="43"/>
      <c r="E31" s="44"/>
      <c r="F31" s="26">
        <f>ROUND(G31/(1+E31)*E31,2)</f>
        <v>0</v>
      </c>
      <c r="G31" s="29">
        <v>8000</v>
      </c>
      <c r="H31" s="45"/>
      <c r="I31" s="88">
        <f>I9*0.02</f>
        <v>8000</v>
      </c>
      <c r="J31" s="81" t="s">
        <v>53</v>
      </c>
      <c r="K31" s="87" t="s">
        <v>57</v>
      </c>
      <c r="L31" s="89"/>
      <c r="M31" s="76"/>
      <c r="N31" s="76"/>
      <c r="O31" s="77"/>
    </row>
    <row r="32" s="1" customFormat="1" ht="18" customHeight="1" spans="1:15">
      <c r="A32" s="41"/>
      <c r="B32" s="26"/>
      <c r="C32" s="42"/>
      <c r="D32" s="43"/>
      <c r="E32" s="44"/>
      <c r="F32" s="26"/>
      <c r="G32" s="29"/>
      <c r="H32" s="45"/>
      <c r="I32" s="88">
        <v>3422.9</v>
      </c>
      <c r="J32" s="81" t="s">
        <v>53</v>
      </c>
      <c r="K32" s="87" t="s">
        <v>58</v>
      </c>
      <c r="L32" s="89"/>
      <c r="M32" s="76"/>
      <c r="N32" s="76"/>
      <c r="O32" s="77"/>
    </row>
    <row r="33" s="1" customFormat="1" ht="18" customHeight="1" spans="1:15">
      <c r="A33" s="41"/>
      <c r="B33" s="26">
        <f>ROUND(G33/(1+E33),2)</f>
        <v>0</v>
      </c>
      <c r="C33" s="42"/>
      <c r="D33" s="43"/>
      <c r="E33" s="44"/>
      <c r="F33" s="26">
        <f>ROUND(G33/(1+E33)*E33,2)</f>
        <v>0</v>
      </c>
      <c r="G33" s="29"/>
      <c r="H33" s="45">
        <v>44590</v>
      </c>
      <c r="I33" s="13">
        <v>59500</v>
      </c>
      <c r="J33" s="63" t="s">
        <v>53</v>
      </c>
      <c r="K33" s="90" t="s">
        <v>56</v>
      </c>
      <c r="L33" s="89"/>
      <c r="M33" s="76"/>
      <c r="N33" s="76"/>
      <c r="O33" s="77"/>
    </row>
    <row r="34" s="1" customFormat="1" ht="18" customHeight="1" spans="1:15">
      <c r="A34" s="41"/>
      <c r="B34" s="26">
        <f>ROUND(G34/(1+E34),2)</f>
        <v>119000</v>
      </c>
      <c r="C34" s="42"/>
      <c r="D34" s="43"/>
      <c r="E34" s="44"/>
      <c r="F34" s="26">
        <f>ROUND(G34/(1+E34)*E34,2)</f>
        <v>0</v>
      </c>
      <c r="G34" s="29">
        <v>119000</v>
      </c>
      <c r="H34" s="45">
        <v>44590</v>
      </c>
      <c r="I34" s="13">
        <v>119000</v>
      </c>
      <c r="J34" s="63" t="s">
        <v>53</v>
      </c>
      <c r="K34" s="90" t="s">
        <v>57</v>
      </c>
      <c r="L34" s="89"/>
      <c r="M34" s="76"/>
      <c r="N34" s="76"/>
      <c r="O34" s="77"/>
    </row>
    <row r="35" s="1" customFormat="1" ht="18" customHeight="1" spans="1:15">
      <c r="A35" s="41"/>
      <c r="B35" s="26">
        <f>ROUND(G35/(1+E35),2)</f>
        <v>0</v>
      </c>
      <c r="C35" s="42"/>
      <c r="D35" s="43"/>
      <c r="E35" s="44"/>
      <c r="F35" s="26">
        <f>ROUND(G35/(1+E35)*E35,2)</f>
        <v>0</v>
      </c>
      <c r="G35" s="29"/>
      <c r="H35" s="45">
        <v>44590</v>
      </c>
      <c r="I35" s="13">
        <v>500</v>
      </c>
      <c r="J35" s="63" t="s">
        <v>53</v>
      </c>
      <c r="K35" s="90" t="s">
        <v>55</v>
      </c>
      <c r="L35" s="89"/>
      <c r="M35" s="76"/>
      <c r="N35" s="76"/>
      <c r="O35" s="77"/>
    </row>
    <row r="36" ht="18" customHeight="1" spans="1:15">
      <c r="A36" s="35" t="s">
        <v>25</v>
      </c>
      <c r="B36" s="34">
        <f>SUM(B15:B35)</f>
        <v>5485746.69</v>
      </c>
      <c r="C36" s="35"/>
      <c r="D36" s="46"/>
      <c r="E36" s="46"/>
      <c r="F36" s="36">
        <f>SUM(F15:F35)</f>
        <v>696637.07</v>
      </c>
      <c r="G36" s="47">
        <f>SUM(G15:G35)</f>
        <v>6182383.76</v>
      </c>
      <c r="H36" s="48"/>
      <c r="I36" s="35">
        <f>SUM(I14:I35)</f>
        <v>6344862.6</v>
      </c>
      <c r="J36" s="91"/>
      <c r="K36" s="92"/>
      <c r="L36" s="93"/>
      <c r="M36" s="63"/>
      <c r="N36" s="63"/>
      <c r="O36" s="37"/>
    </row>
    <row r="37" ht="18" customHeight="1" spans="1:14">
      <c r="A37" s="49" t="s">
        <v>59</v>
      </c>
      <c r="B37" s="49">
        <f>B11*0.96</f>
        <v>5476643.31743119</v>
      </c>
      <c r="C37" s="49"/>
      <c r="D37" s="50"/>
      <c r="E37" s="50"/>
      <c r="F37" s="51"/>
      <c r="G37" s="51">
        <f>G11-G36</f>
        <v>35888.3399999999</v>
      </c>
      <c r="H37" s="24" t="s">
        <v>60</v>
      </c>
      <c r="I37" s="35">
        <f>I11-I36</f>
        <v>5137.39999999944</v>
      </c>
      <c r="J37" s="7"/>
      <c r="K37" s="94"/>
      <c r="M37" s="52"/>
      <c r="N37" s="52"/>
    </row>
    <row r="38" ht="18" customHeight="1" spans="1:14">
      <c r="A38" s="49" t="s">
        <v>61</v>
      </c>
      <c r="B38" s="49">
        <f>B37-B36</f>
        <v>-9103.37256880943</v>
      </c>
      <c r="C38" s="49"/>
      <c r="D38" s="50"/>
      <c r="E38" s="50"/>
      <c r="F38" s="51"/>
      <c r="G38" s="51"/>
      <c r="H38" s="52"/>
      <c r="I38" s="51"/>
      <c r="J38" s="7"/>
      <c r="K38" s="94"/>
      <c r="M38" s="52"/>
      <c r="N38" s="52"/>
    </row>
    <row r="39" ht="18" customHeight="1" spans="1:3">
      <c r="A39" s="2" t="s">
        <v>62</v>
      </c>
      <c r="C39" s="2"/>
    </row>
    <row r="40" ht="18" customHeight="1" spans="1:9">
      <c r="A40" s="24" t="s">
        <v>63</v>
      </c>
      <c r="B40" s="23" t="s">
        <v>64</v>
      </c>
      <c r="C40" s="37"/>
      <c r="D40" s="24" t="s">
        <v>63</v>
      </c>
      <c r="E40" s="22" t="s">
        <v>19</v>
      </c>
      <c r="F40" s="23" t="s">
        <v>64</v>
      </c>
      <c r="G40" s="53" t="s">
        <v>65</v>
      </c>
      <c r="I40" s="53"/>
    </row>
    <row r="41" ht="18" customHeight="1" spans="1:9">
      <c r="A41" s="37" t="s">
        <v>66</v>
      </c>
      <c r="B41" s="19">
        <f>(B37-B36)*0.25</f>
        <v>-2275.84314220236</v>
      </c>
      <c r="C41" s="37"/>
      <c r="D41" s="33" t="s">
        <v>67</v>
      </c>
      <c r="E41" s="24" t="s">
        <v>68</v>
      </c>
      <c r="F41" s="36">
        <f>F11-F36</f>
        <v>-297298.494770642</v>
      </c>
      <c r="G41" s="36">
        <f>F7-F20-F21</f>
        <v>-1441.08477064199</v>
      </c>
      <c r="I41" s="95">
        <f>D8</f>
        <v>0</v>
      </c>
    </row>
    <row r="42" ht="18" customHeight="1" spans="1:9">
      <c r="A42" s="37" t="s">
        <v>69</v>
      </c>
      <c r="B42" s="54">
        <f>G7*0.0003</f>
        <v>1865.48163</v>
      </c>
      <c r="C42" s="37"/>
      <c r="D42" s="55" t="s">
        <v>70</v>
      </c>
      <c r="E42" s="15">
        <v>0.07</v>
      </c>
      <c r="F42" s="13">
        <f>F41*E42</f>
        <v>-20810.8946339449</v>
      </c>
      <c r="G42" s="13">
        <f>G41*E42</f>
        <v>-100.875933944939</v>
      </c>
      <c r="I42" s="13">
        <f>I41*E42</f>
        <v>0</v>
      </c>
    </row>
    <row r="43" ht="18" customHeight="1" spans="1:9">
      <c r="A43" s="37" t="s">
        <v>71</v>
      </c>
      <c r="B43" s="54">
        <f>B11*0.0006</f>
        <v>3422.90207339449</v>
      </c>
      <c r="C43" s="37"/>
      <c r="D43" s="55" t="s">
        <v>72</v>
      </c>
      <c r="E43" s="15">
        <v>0.03</v>
      </c>
      <c r="F43" s="13">
        <f>F41*E43</f>
        <v>-8918.95484311926</v>
      </c>
      <c r="G43" s="13">
        <f>G41*E43</f>
        <v>-43.2325431192596</v>
      </c>
      <c r="I43" s="13">
        <f>I41*E43</f>
        <v>0</v>
      </c>
    </row>
    <row r="44" ht="18" customHeight="1" spans="1:9">
      <c r="A44" s="37"/>
      <c r="B44" s="53"/>
      <c r="C44" s="37"/>
      <c r="D44" s="55" t="s">
        <v>73</v>
      </c>
      <c r="E44" s="15">
        <v>0.02</v>
      </c>
      <c r="F44" s="13">
        <f>F41*E44</f>
        <v>-5945.96989541284</v>
      </c>
      <c r="G44" s="13">
        <f>G41*E44</f>
        <v>-28.8216954128398</v>
      </c>
      <c r="I44" s="13">
        <f>I41*E44</f>
        <v>0</v>
      </c>
    </row>
    <row r="45" ht="18" customHeight="1" spans="1:9">
      <c r="A45" s="33" t="s">
        <v>74</v>
      </c>
      <c r="B45" s="56">
        <f>SUM(B41:B44)</f>
        <v>3012.54056119213</v>
      </c>
      <c r="C45" s="37"/>
      <c r="D45" s="38" t="s">
        <v>74</v>
      </c>
      <c r="E45" s="35"/>
      <c r="F45" s="36">
        <f>SUM(F41:F44)</f>
        <v>-332974.314143119</v>
      </c>
      <c r="G45" s="36">
        <f>SUM(G41:G44)</f>
        <v>-1614.01494311903</v>
      </c>
      <c r="I45" s="36">
        <f>SUM(I41:I44)</f>
        <v>0</v>
      </c>
    </row>
    <row r="46" ht="18" customHeight="1" spans="3:9">
      <c r="C46" s="2"/>
      <c r="D46" s="13" t="s">
        <v>69</v>
      </c>
      <c r="E46" s="13">
        <v>0.0003</v>
      </c>
      <c r="F46" s="13">
        <f>G11*E46</f>
        <v>1865.48163</v>
      </c>
      <c r="G46" s="13">
        <v>0</v>
      </c>
      <c r="I46" s="13">
        <f>G8*E46</f>
        <v>0</v>
      </c>
    </row>
    <row r="47" ht="18" customHeight="1" spans="3:9">
      <c r="C47" s="2"/>
      <c r="D47" s="13" t="s">
        <v>71</v>
      </c>
      <c r="E47" s="13">
        <v>0.0006</v>
      </c>
      <c r="F47" s="13">
        <f>B11*E47</f>
        <v>3422.90207339449</v>
      </c>
      <c r="G47" s="13">
        <f>B7*E47</f>
        <v>3422.90207339449</v>
      </c>
      <c r="I47" s="13">
        <f>B8*E47</f>
        <v>0</v>
      </c>
    </row>
    <row r="48" ht="18" customHeight="1" spans="3:9">
      <c r="C48" s="2"/>
      <c r="D48" s="22" t="s">
        <v>74</v>
      </c>
      <c r="E48" s="35"/>
      <c r="F48" s="35">
        <f>F47+F46</f>
        <v>5288.38370339449</v>
      </c>
      <c r="G48" s="35">
        <f>SUM(G46:G47)</f>
        <v>3422.90207339449</v>
      </c>
      <c r="I48" s="35">
        <f>SUM(I46:I47)</f>
        <v>0</v>
      </c>
    </row>
    <row r="49" ht="18" customHeight="1" spans="3:9">
      <c r="C49" s="2"/>
      <c r="D49" s="22" t="s">
        <v>25</v>
      </c>
      <c r="E49" s="35"/>
      <c r="F49" s="35">
        <f>F45+F48</f>
        <v>-327685.930439725</v>
      </c>
      <c r="G49" s="35">
        <f>G45+G48</f>
        <v>1808.88713027546</v>
      </c>
      <c r="I49" s="35">
        <f>I45+I48</f>
        <v>0</v>
      </c>
    </row>
    <row r="50" ht="18" customHeight="1" spans="3:9">
      <c r="C50" s="2"/>
      <c r="D50" s="35" t="s">
        <v>66</v>
      </c>
      <c r="E50" s="35"/>
      <c r="F50" s="35"/>
      <c r="G50" s="35"/>
      <c r="I50" s="35"/>
    </row>
    <row r="51" ht="18" customHeight="1" spans="3:3">
      <c r="C51" s="2"/>
    </row>
    <row r="52" ht="18" customHeight="1" spans="3:3">
      <c r="C52" s="2"/>
    </row>
    <row r="53" ht="18" customHeight="1" spans="3:3">
      <c r="C53" s="2"/>
    </row>
    <row r="54" spans="3:3">
      <c r="C54" s="2"/>
    </row>
    <row r="55" spans="3:3">
      <c r="C55" s="2"/>
    </row>
    <row r="56" spans="3:3">
      <c r="C56" s="2"/>
    </row>
    <row r="57" spans="3:3">
      <c r="C57" s="2"/>
    </row>
    <row r="58" spans="3:3">
      <c r="C58" s="2"/>
    </row>
    <row r="59" spans="3:3">
      <c r="C59" s="2"/>
    </row>
    <row r="60" spans="3:3">
      <c r="C60" s="2"/>
    </row>
    <row r="61" spans="3:3">
      <c r="C61" s="2"/>
    </row>
    <row r="62" spans="3:3">
      <c r="C62" s="2"/>
    </row>
    <row r="63" spans="3:3">
      <c r="C63" s="2"/>
    </row>
    <row r="64" spans="3:3">
      <c r="C64" s="2"/>
    </row>
    <row r="65" spans="3:3">
      <c r="C65" s="2"/>
    </row>
    <row r="66" spans="3:3">
      <c r="C66" s="2"/>
    </row>
    <row r="67" spans="3:3">
      <c r="C67" s="2"/>
    </row>
    <row r="68" spans="3:3">
      <c r="C68" s="2"/>
    </row>
    <row r="69" spans="3:3">
      <c r="C69" s="2"/>
    </row>
  </sheetData>
  <autoFilter ref="A13:O50">
    <filterColumn colId="10">
      <customFilters>
        <customFilter operator="equal" val="宁波聚恒金属科技有限公司"/>
      </customFilters>
    </filterColumn>
    <extLst/>
  </autoFilter>
  <mergeCells count="8">
    <mergeCell ref="A1:J1"/>
    <mergeCell ref="H2:J2"/>
    <mergeCell ref="C5:D5"/>
    <mergeCell ref="E5:F5"/>
    <mergeCell ref="H5:J5"/>
    <mergeCell ref="A5:A6"/>
    <mergeCell ref="B5:B6"/>
    <mergeCell ref="G5:G6"/>
  </mergeCells>
  <pageMargins left="0.236111111111111" right="0.236111111111111" top="0.314583333333333" bottom="0.156944444444444" header="0.314583333333333" footer="0.314583333333333"/>
  <pageSetup paperSize="9" orientation="landscape"/>
  <headerFooter/>
  <drawing r:id="rId2"/>
  <legacyDrawing r:id="rId3"/>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cw05</dc:creator>
  <cp:lastModifiedBy>qyr</cp:lastModifiedBy>
  <dcterms:created xsi:type="dcterms:W3CDTF">2016-07-12T06:03:00Z</dcterms:created>
  <cp:lastPrinted>2016-11-23T10:22:00Z</cp:lastPrinted>
  <dcterms:modified xsi:type="dcterms:W3CDTF">2022-05-09T00:41:49Z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EFB5374176D34BC999CD7D6C394ADE58</vt:lpwstr>
  </property>
</Properties>
</file>