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Sheet1!$A$13:$O$71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6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B62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6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<sst xmlns="http://schemas.openxmlformats.org/spreadsheetml/2006/main" count="172" uniqueCount="104">
  <si>
    <t xml:space="preserve">C13289  肥西县公安局交管大队三河中队业务用房建设项目 </t>
  </si>
  <si>
    <t>中标日期</t>
  </si>
  <si>
    <t>中标价</t>
  </si>
  <si>
    <t>负责人</t>
  </si>
  <si>
    <t>赵友权18096664336</t>
  </si>
  <si>
    <t>建设单位</t>
  </si>
  <si>
    <t>肥西县城乡建设投资（集团）有限公司913401235621956712</t>
  </si>
  <si>
    <t>安徽省合肥市肥西县上派镇馆驿路肥西农商行20楼0551-68858025</t>
  </si>
  <si>
    <t>决算日期</t>
  </si>
  <si>
    <t>决算价</t>
  </si>
  <si>
    <t>中行肥西支行 176708137348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</si>
  <si>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</si>
  <si>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</si>
  <si>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</si>
  <si>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</si>
  <si>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</si>
  <si>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</si>
  <si>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</si>
  <si>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</si>
  <si>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</si>
  <si>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</si>
  <si>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</si>
  <si>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</si>
  <si>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农民工专户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</si>
  <si>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</si>
  <si>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</si>
  <si>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</si>
  <si>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</si>
  <si>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</si>
  <si>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</si>
  <si>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</si>
  <si>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</si>
  <si>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</si>
  <si>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</si>
  <si>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</si>
  <si>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</si>
  <si>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</si>
  <si>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</si>
  <si>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</si>
  <si>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1份</t>
  </si>
  <si>
    <t>专</t>
  </si>
  <si>
    <t>肥西县公共资源交易有限责任公司</t>
  </si>
  <si>
    <t>中标服务费</t>
  </si>
  <si>
    <t>徽行</t>
  </si>
  <si>
    <t>李华</t>
  </si>
  <si>
    <t>中行</t>
  </si>
  <si>
    <t>合肥风之清贸易有限公司</t>
  </si>
  <si>
    <t>钢筋款</t>
  </si>
  <si>
    <t>安徽省巢湖恒信水泥有限公司</t>
  </si>
  <si>
    <t>混凝土</t>
  </si>
  <si>
    <t>水泥材料款</t>
  </si>
  <si>
    <t>庐江县银鑫建材有限公司</t>
  </si>
  <si>
    <t>烧结空心砖</t>
  </si>
  <si>
    <t>13289-2021-010#-60900</t>
  </si>
  <si>
    <t>安徽瑞迅电梯有限公司</t>
  </si>
  <si>
    <t>电梯采购</t>
  </si>
  <si>
    <t>13289-2021-011#-129000</t>
  </si>
  <si>
    <t>8份</t>
  </si>
  <si>
    <t>抗震螺纹钢</t>
  </si>
  <si>
    <t>13289-2021-001#、003#（2021-191、317）-341805.7、573881.36</t>
  </si>
  <si>
    <t>有</t>
  </si>
  <si>
    <t>4份</t>
  </si>
  <si>
    <t>庐江县顺茂建材销售有限公司</t>
  </si>
  <si>
    <t>模板、木方</t>
  </si>
  <si>
    <t>13289-2021-006#（2021-356）-400000</t>
  </si>
  <si>
    <t>空心砖</t>
  </si>
  <si>
    <t>13289-2021-010#（2021-371）-60900</t>
  </si>
  <si>
    <t>3份</t>
  </si>
  <si>
    <t>13289-2021-002#（2021-238）-506000</t>
  </si>
  <si>
    <t>安徽安旭起重设备安装有限公司</t>
  </si>
  <si>
    <t>设备租赁费</t>
  </si>
  <si>
    <t>13289-2021-009（#2021-360）-50000</t>
  </si>
  <si>
    <t>合肥鼎源诚五金机电设备有限公司</t>
  </si>
  <si>
    <t>止水钢板</t>
  </si>
  <si>
    <t>安徽星丰线缆有限公司</t>
  </si>
  <si>
    <t>铜铝鼻、胶布</t>
  </si>
  <si>
    <t>肥西县刘河自来水厂</t>
  </si>
  <si>
    <t>自来水管道安装</t>
  </si>
  <si>
    <t>5份</t>
  </si>
  <si>
    <t>国网安徽省电力有限公司肥西县供电公司</t>
  </si>
  <si>
    <t>电费</t>
  </si>
  <si>
    <t>安徽千联建设工程有限公司</t>
  </si>
  <si>
    <t>劳务</t>
  </si>
  <si>
    <t>13289-2021-007#-2013326.03</t>
  </si>
  <si>
    <t>扣</t>
  </si>
  <si>
    <t>转账手续费</t>
  </si>
  <si>
    <t>管理费（到账工程款2%）</t>
  </si>
  <si>
    <t>2021年9月本地2%增值税及附加、水利基金、印花税</t>
  </si>
  <si>
    <t>应提供成本</t>
  </si>
  <si>
    <t>可支付金额</t>
  </si>
  <si>
    <t>尚需提供成本</t>
  </si>
  <si>
    <t>公司代缴税金：</t>
  </si>
  <si>
    <t>税种</t>
  </si>
  <si>
    <t>税额</t>
  </si>
  <si>
    <t>2021年9月本地2%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</si>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</sst>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yy/m/d;@"/>
    <numFmt numFmtId="178" formatCode="#,##0.00_ "/>
    <numFmt numFmtId="179" formatCode="yyyy&quot;年&quot;m&quot;月&quot;;@"/>
    <numFmt numFmtId="180" formatCode="#,##0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Microsoft YaHei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29" fillId="22" borderId="8" applyNumberFormat="0" applyAlignment="0" applyProtection="0">
      <alignment vertical="center"/>
    </xf>
    <xf numFmtId="0" fontId="27" fillId="34" borderId="12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178" fontId="8" fillId="3" borderId="2" xfId="0" applyNumberFormat="1" applyFont="1" applyFill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8" fontId="8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8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0" fontId="8" fillId="0" borderId="2" xfId="0" applyNumberFormat="1" applyFont="1" applyBorder="1" applyAlignment="1">
      <alignment vertical="center"/>
    </xf>
    <xf numFmtId="178" fontId="8" fillId="0" borderId="3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8" fontId="8" fillId="4" borderId="2" xfId="0" applyNumberFormat="1" applyFont="1" applyFill="1" applyBorder="1" applyAlignment="1">
      <alignment vertical="center" wrapText="1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vertical="center" wrapText="1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7" fontId="2" fillId="6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/>
    <xf numFmtId="178" fontId="9" fillId="0" borderId="2" xfId="0" applyNumberFormat="1" applyFont="1" applyBorder="1" applyAlignment="1">
      <alignment vertical="center"/>
    </xf>
    <xf numFmtId="0" fontId="9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8" fillId="0" borderId="0" xfId="0" applyNumberFormat="1" applyFont="1" applyBorder="1" applyAlignment="1">
      <alignment vertical="center"/>
    </xf>
    <xf numFmtId="176" fontId="8" fillId="3" borderId="2" xfId="0" applyNumberFormat="1" applyFont="1" applyFill="1" applyBorder="1" applyAlignment="1">
      <alignment vertical="center"/>
    </xf>
    <xf numFmtId="178" fontId="8" fillId="0" borderId="2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"/>
  <sheetViews>
    <sheetView tabSelected="1" topLeftCell="A35" workbookViewId="0">
      <selection activeCell="K67" sqref="K67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8.125" style="5" customWidth="1"/>
    <col min="11" max="11" width="35.125" style="6" customWidth="1"/>
    <col min="12" max="12" width="16.5" style="6" customWidth="1"/>
    <col min="13" max="13" width="45.125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8"/>
      <c r="C1" s="8"/>
      <c r="D1" s="8"/>
      <c r="E1" s="8"/>
      <c r="F1" s="9"/>
      <c r="G1" s="9"/>
      <c r="H1" s="8"/>
      <c r="I1" s="9"/>
      <c r="J1" s="8"/>
      <c r="K1" s="20"/>
      <c r="L1" s="20"/>
    </row>
    <row r="2" ht="18" customHeight="1" spans="1:12">
      <c r="A2" s="10" t="s">
        <v>1</v>
      </c>
      <c r="B2" s="11">
        <v>44234</v>
      </c>
      <c r="C2" s="12" t="s">
        <v>2</v>
      </c>
      <c r="D2" s="13">
        <v>7291906.01</v>
      </c>
      <c r="E2" s="14" t="s">
        <v>3</v>
      </c>
      <c r="F2" s="15" t="s">
        <v>4</v>
      </c>
      <c r="G2" s="16" t="s">
        <v>5</v>
      </c>
      <c r="H2" s="17" t="s">
        <v>6</v>
      </c>
      <c r="I2" s="53"/>
      <c r="J2" s="54"/>
      <c r="K2" s="55" t="s">
        <v>7</v>
      </c>
      <c r="L2" s="20"/>
    </row>
    <row r="3" ht="18" customHeight="1" spans="1:12">
      <c r="A3" s="10" t="s">
        <v>8</v>
      </c>
      <c r="B3" s="18"/>
      <c r="C3" s="12" t="s">
        <v>9</v>
      </c>
      <c r="D3" s="19"/>
      <c r="H3" s="20"/>
      <c r="I3" s="56"/>
      <c r="J3" s="20"/>
      <c r="K3" s="57" t="s">
        <v>10</v>
      </c>
      <c r="L3" s="20"/>
    </row>
    <row r="4" ht="18" customHeight="1" spans="1:12">
      <c r="A4" s="2" t="s">
        <v>11</v>
      </c>
      <c r="H4" s="20"/>
      <c r="I4" s="56"/>
      <c r="J4" s="20"/>
      <c r="K4" s="20"/>
      <c r="L4" s="20"/>
    </row>
    <row r="5" ht="18" customHeight="1" spans="1:10">
      <c r="A5" s="21" t="s">
        <v>12</v>
      </c>
      <c r="B5" s="22" t="s">
        <v>13</v>
      </c>
      <c r="C5" s="21" t="s">
        <v>14</v>
      </c>
      <c r="D5" s="21"/>
      <c r="E5" s="21" t="s">
        <v>15</v>
      </c>
      <c r="F5" s="22"/>
      <c r="G5" s="22" t="s">
        <v>16</v>
      </c>
      <c r="H5" s="23" t="s">
        <v>17</v>
      </c>
      <c r="I5" s="22"/>
      <c r="J5" s="23"/>
    </row>
    <row r="6" ht="18" customHeight="1" spans="1:10">
      <c r="A6" s="21"/>
      <c r="B6" s="22"/>
      <c r="C6" s="21" t="s">
        <v>18</v>
      </c>
      <c r="D6" s="21" t="s">
        <v>19</v>
      </c>
      <c r="E6" s="21" t="s">
        <v>18</v>
      </c>
      <c r="F6" s="22" t="s">
        <v>19</v>
      </c>
      <c r="G6" s="22"/>
      <c r="H6" s="23" t="s">
        <v>20</v>
      </c>
      <c r="I6" s="22" t="s">
        <v>21</v>
      </c>
      <c r="J6" s="23" t="s">
        <v>22</v>
      </c>
    </row>
    <row r="7" ht="18" customHeight="1" spans="1:10">
      <c r="A7" s="24">
        <v>44449</v>
      </c>
      <c r="B7" s="12">
        <f t="shared" ref="B7:B10" si="0">G7/(1+C7+E7)</f>
        <v>2510790.82568807</v>
      </c>
      <c r="C7" s="25">
        <v>0.02</v>
      </c>
      <c r="D7" s="26">
        <f t="shared" ref="D7:D10" si="1">G7/(1+E7+C7)*C7</f>
        <v>50215.8165137615</v>
      </c>
      <c r="E7" s="25">
        <v>0.07</v>
      </c>
      <c r="F7" s="12">
        <f t="shared" ref="F7:F10" si="2">G7/(1+C7+E7)*E7</f>
        <v>175755.357798165</v>
      </c>
      <c r="G7" s="27">
        <v>2736762</v>
      </c>
      <c r="H7" s="24">
        <v>44455</v>
      </c>
      <c r="I7" s="12">
        <v>547352</v>
      </c>
      <c r="J7" s="58" t="s">
        <v>23</v>
      </c>
    </row>
    <row r="8" ht="18" customHeight="1" spans="1:10">
      <c r="A8" s="24"/>
      <c r="B8" s="12">
        <f t="shared" si="0"/>
        <v>0</v>
      </c>
      <c r="C8" s="25">
        <v>0.02</v>
      </c>
      <c r="D8" s="26">
        <f t="shared" si="1"/>
        <v>0</v>
      </c>
      <c r="E8" s="25">
        <v>0.07</v>
      </c>
      <c r="F8" s="12">
        <f t="shared" si="2"/>
        <v>0</v>
      </c>
      <c r="G8" s="27"/>
      <c r="H8" s="24">
        <v>44456</v>
      </c>
      <c r="I8" s="12">
        <v>2189410</v>
      </c>
      <c r="J8" s="58" t="s">
        <v>24</v>
      </c>
    </row>
    <row r="9" ht="18" customHeight="1" spans="1:10">
      <c r="A9" s="24"/>
      <c r="B9" s="12">
        <f t="shared" si="0"/>
        <v>0</v>
      </c>
      <c r="C9" s="25">
        <v>0.02</v>
      </c>
      <c r="D9" s="26">
        <f t="shared" si="1"/>
        <v>0</v>
      </c>
      <c r="E9" s="25">
        <v>0.07</v>
      </c>
      <c r="F9" s="12">
        <f t="shared" si="2"/>
        <v>0</v>
      </c>
      <c r="G9" s="27"/>
      <c r="H9" s="24"/>
      <c r="I9" s="12"/>
      <c r="J9" s="58"/>
    </row>
    <row r="10" ht="18" customHeight="1" spans="1:10">
      <c r="A10" s="24"/>
      <c r="B10" s="12">
        <f t="shared" si="0"/>
        <v>0</v>
      </c>
      <c r="C10" s="25">
        <v>0.02</v>
      </c>
      <c r="D10" s="26">
        <f t="shared" si="1"/>
        <v>0</v>
      </c>
      <c r="E10" s="25">
        <v>0.07</v>
      </c>
      <c r="F10" s="12">
        <f t="shared" si="2"/>
        <v>0</v>
      </c>
      <c r="G10" s="27"/>
      <c r="H10" s="24"/>
      <c r="I10" s="12"/>
      <c r="J10" s="58"/>
    </row>
    <row r="11" ht="18" customHeight="1" spans="1:10">
      <c r="A11" s="28" t="s">
        <v>25</v>
      </c>
      <c r="B11" s="29">
        <f>SUM(B7:B10)</f>
        <v>2510790.82568807</v>
      </c>
      <c r="C11" s="30"/>
      <c r="D11" s="30">
        <f>SUM(D7:D10)</f>
        <v>50215.8165137615</v>
      </c>
      <c r="E11" s="30"/>
      <c r="F11" s="31">
        <f>SUM(F7:F10)</f>
        <v>175755.357798165</v>
      </c>
      <c r="G11" s="30">
        <f>SUM(G7:G10)</f>
        <v>2736762</v>
      </c>
      <c r="H11" s="32"/>
      <c r="I11" s="30">
        <f>SUM(I7:I10)</f>
        <v>2736762</v>
      </c>
      <c r="J11" s="32"/>
    </row>
    <row r="12" ht="18" customHeight="1" spans="1:12">
      <c r="A12" s="2" t="s">
        <v>26</v>
      </c>
      <c r="J12" s="4"/>
      <c r="K12" s="4"/>
      <c r="L12" s="5"/>
    </row>
    <row r="13" ht="18" customHeight="1" spans="1:15">
      <c r="A13" s="33" t="s">
        <v>27</v>
      </c>
      <c r="B13" s="22" t="s">
        <v>28</v>
      </c>
      <c r="C13" s="21" t="s">
        <v>29</v>
      </c>
      <c r="D13" s="21" t="s">
        <v>30</v>
      </c>
      <c r="E13" s="21" t="s">
        <v>18</v>
      </c>
      <c r="F13" s="22" t="s">
        <v>31</v>
      </c>
      <c r="G13" s="22" t="s">
        <v>16</v>
      </c>
      <c r="H13" s="21" t="s">
        <v>32</v>
      </c>
      <c r="I13" s="22" t="s">
        <v>33</v>
      </c>
      <c r="J13" s="21" t="s">
        <v>22</v>
      </c>
      <c r="K13" s="59" t="s">
        <v>34</v>
      </c>
      <c r="L13" s="23" t="s">
        <v>35</v>
      </c>
      <c r="M13" s="23" t="s">
        <v>36</v>
      </c>
      <c r="N13" s="23" t="s">
        <v>37</v>
      </c>
      <c r="O13" s="23" t="s">
        <v>38</v>
      </c>
    </row>
    <row r="14" s="1" customFormat="1" ht="18" customHeight="1" spans="1:15">
      <c r="A14" s="34">
        <v>44256</v>
      </c>
      <c r="B14" s="35">
        <f t="shared" ref="B14:B20" si="3">ROUND(G14/(1+E14),2)</f>
        <v>61306.6</v>
      </c>
      <c r="C14" s="36" t="s">
        <v>39</v>
      </c>
      <c r="D14" s="37" t="s">
        <v>40</v>
      </c>
      <c r="E14" s="38">
        <v>0.06</v>
      </c>
      <c r="F14" s="35">
        <f t="shared" ref="F14:F20" si="4">ROUND(G14/(1+E14)*E14,2)</f>
        <v>3678.4</v>
      </c>
      <c r="G14" s="27">
        <v>64985</v>
      </c>
      <c r="H14" s="24"/>
      <c r="I14" s="12"/>
      <c r="J14" s="58"/>
      <c r="K14" s="60" t="s">
        <v>41</v>
      </c>
      <c r="L14" s="61" t="s">
        <v>42</v>
      </c>
      <c r="M14" s="62"/>
      <c r="N14" s="62"/>
      <c r="O14" s="61"/>
    </row>
    <row r="15" s="1" customFormat="1" ht="18" customHeight="1" spans="1:15">
      <c r="A15" s="34"/>
      <c r="B15" s="35">
        <f t="shared" si="3"/>
        <v>0</v>
      </c>
      <c r="C15" s="36"/>
      <c r="D15" s="37"/>
      <c r="E15" s="38"/>
      <c r="F15" s="35">
        <f t="shared" si="4"/>
        <v>0</v>
      </c>
      <c r="G15" s="27"/>
      <c r="H15" s="24">
        <v>44285</v>
      </c>
      <c r="I15" s="12">
        <v>-300000</v>
      </c>
      <c r="J15" s="58" t="s">
        <v>43</v>
      </c>
      <c r="K15" s="60" t="s">
        <v>44</v>
      </c>
      <c r="L15" s="61"/>
      <c r="M15" s="62"/>
      <c r="N15" s="62"/>
      <c r="O15" s="61"/>
    </row>
    <row r="16" s="1" customFormat="1" ht="18" customHeight="1" spans="1:15">
      <c r="A16" s="34"/>
      <c r="B16" s="35">
        <f t="shared" si="3"/>
        <v>0</v>
      </c>
      <c r="C16" s="36"/>
      <c r="D16" s="37"/>
      <c r="E16" s="38"/>
      <c r="F16" s="35">
        <f t="shared" si="4"/>
        <v>0</v>
      </c>
      <c r="G16" s="27"/>
      <c r="H16" s="24">
        <v>44285</v>
      </c>
      <c r="I16" s="12">
        <v>300000</v>
      </c>
      <c r="J16" s="58" t="s">
        <v>45</v>
      </c>
      <c r="K16" s="63" t="s">
        <v>46</v>
      </c>
      <c r="L16" s="32" t="s">
        <v>47</v>
      </c>
      <c r="M16" s="64"/>
      <c r="N16" s="62"/>
      <c r="O16" s="61"/>
    </row>
    <row r="17" s="1" customFormat="1" ht="18" customHeight="1" spans="1:15">
      <c r="A17" s="34"/>
      <c r="B17" s="35">
        <f t="shared" si="3"/>
        <v>0</v>
      </c>
      <c r="C17" s="36"/>
      <c r="D17" s="37"/>
      <c r="E17" s="39"/>
      <c r="F17" s="35">
        <f t="shared" si="4"/>
        <v>0</v>
      </c>
      <c r="G17" s="27"/>
      <c r="H17" s="24">
        <v>44316</v>
      </c>
      <c r="I17" s="12">
        <v>-200000</v>
      </c>
      <c r="J17" s="58" t="s">
        <v>43</v>
      </c>
      <c r="K17" s="60" t="s">
        <v>44</v>
      </c>
      <c r="L17" s="61"/>
      <c r="M17" s="64"/>
      <c r="N17" s="62"/>
      <c r="O17" s="61"/>
    </row>
    <row r="18" s="1" customFormat="1" ht="18" customHeight="1" spans="1:15">
      <c r="A18" s="34"/>
      <c r="B18" s="35">
        <f t="shared" si="3"/>
        <v>0</v>
      </c>
      <c r="C18" s="36"/>
      <c r="D18" s="37"/>
      <c r="E18" s="38"/>
      <c r="F18" s="35">
        <f t="shared" si="4"/>
        <v>0</v>
      </c>
      <c r="G18" s="27"/>
      <c r="H18" s="24">
        <v>44316</v>
      </c>
      <c r="I18" s="12">
        <v>200000</v>
      </c>
      <c r="J18" s="58" t="s">
        <v>45</v>
      </c>
      <c r="K18" s="60" t="s">
        <v>48</v>
      </c>
      <c r="L18" s="61" t="s">
        <v>49</v>
      </c>
      <c r="M18" s="64"/>
      <c r="N18" s="62"/>
      <c r="O18" s="61"/>
    </row>
    <row r="19" s="1" customFormat="1" ht="18" customHeight="1" spans="1:15">
      <c r="A19" s="34"/>
      <c r="B19" s="35">
        <f t="shared" si="3"/>
        <v>0</v>
      </c>
      <c r="C19" s="36"/>
      <c r="D19" s="37"/>
      <c r="E19" s="39"/>
      <c r="F19" s="35">
        <f t="shared" si="4"/>
        <v>0</v>
      </c>
      <c r="G19" s="27"/>
      <c r="H19" s="24">
        <v>44335</v>
      </c>
      <c r="I19" s="12">
        <v>-100000</v>
      </c>
      <c r="J19" s="58" t="s">
        <v>43</v>
      </c>
      <c r="K19" s="60" t="s">
        <v>44</v>
      </c>
      <c r="L19" s="61"/>
      <c r="M19" s="62"/>
      <c r="N19" s="62"/>
      <c r="O19" s="61"/>
    </row>
    <row r="20" s="1" customFormat="1" ht="18" customHeight="1" spans="1:15">
      <c r="A20" s="34"/>
      <c r="B20" s="35">
        <f t="shared" si="3"/>
        <v>0</v>
      </c>
      <c r="C20" s="36"/>
      <c r="D20" s="37"/>
      <c r="E20" s="39"/>
      <c r="F20" s="35">
        <f t="shared" si="4"/>
        <v>0</v>
      </c>
      <c r="G20" s="27"/>
      <c r="H20" s="24">
        <v>44336</v>
      </c>
      <c r="I20" s="12">
        <v>100000</v>
      </c>
      <c r="J20" s="58" t="s">
        <v>45</v>
      </c>
      <c r="K20" s="65" t="s">
        <v>48</v>
      </c>
      <c r="L20" s="61" t="s">
        <v>50</v>
      </c>
      <c r="M20" s="62"/>
      <c r="N20" s="62"/>
      <c r="O20" s="61"/>
    </row>
    <row r="21" s="1" customFormat="1" ht="18" customHeight="1" spans="1:15">
      <c r="A21" s="34"/>
      <c r="B21" s="35"/>
      <c r="C21" s="36"/>
      <c r="D21" s="37"/>
      <c r="E21" s="39"/>
      <c r="F21" s="35"/>
      <c r="G21" s="27"/>
      <c r="H21" s="24">
        <v>44382</v>
      </c>
      <c r="I21" s="12">
        <v>-200000</v>
      </c>
      <c r="J21" s="58" t="s">
        <v>43</v>
      </c>
      <c r="K21" s="60" t="s">
        <v>44</v>
      </c>
      <c r="L21" s="61"/>
      <c r="M21" s="62"/>
      <c r="N21" s="62"/>
      <c r="O21" s="61"/>
    </row>
    <row r="22" s="1" customFormat="1" ht="18" customHeight="1" spans="1:15">
      <c r="A22" s="34"/>
      <c r="B22" s="35">
        <f t="shared" ref="B22:B30" si="5">ROUND(G22/(1+E22),2)</f>
        <v>0</v>
      </c>
      <c r="C22" s="36"/>
      <c r="D22" s="37"/>
      <c r="E22" s="39"/>
      <c r="F22" s="35">
        <f t="shared" ref="F22:F30" si="6">ROUND(G22/(1+E22)*E22,2)</f>
        <v>0</v>
      </c>
      <c r="G22" s="27"/>
      <c r="H22" s="24">
        <v>44383</v>
      </c>
      <c r="I22" s="12">
        <v>41805.7</v>
      </c>
      <c r="J22" s="58" t="s">
        <v>45</v>
      </c>
      <c r="K22" s="63" t="s">
        <v>46</v>
      </c>
      <c r="L22" s="61" t="s">
        <v>47</v>
      </c>
      <c r="M22" s="62"/>
      <c r="N22" s="62"/>
      <c r="O22" s="61"/>
    </row>
    <row r="23" s="1" customFormat="1" ht="18" customHeight="1" spans="1:15">
      <c r="A23" s="34"/>
      <c r="B23" s="35">
        <f t="shared" si="5"/>
        <v>0</v>
      </c>
      <c r="C23" s="36"/>
      <c r="D23" s="37"/>
      <c r="E23" s="39"/>
      <c r="F23" s="35">
        <f t="shared" si="6"/>
        <v>0</v>
      </c>
      <c r="G23" s="27"/>
      <c r="H23" s="24">
        <v>44383</v>
      </c>
      <c r="I23" s="12">
        <v>158194.3</v>
      </c>
      <c r="J23" s="58" t="s">
        <v>45</v>
      </c>
      <c r="K23" s="63" t="s">
        <v>46</v>
      </c>
      <c r="L23" s="61" t="s">
        <v>47</v>
      </c>
      <c r="M23" s="62"/>
      <c r="N23" s="62"/>
      <c r="O23" s="61"/>
    </row>
    <row r="24" s="1" customFormat="1" ht="18" customHeight="1" spans="1:15">
      <c r="A24" s="34"/>
      <c r="B24" s="35">
        <f t="shared" si="5"/>
        <v>0</v>
      </c>
      <c r="C24" s="36"/>
      <c r="D24" s="37"/>
      <c r="E24" s="39"/>
      <c r="F24" s="35">
        <f t="shared" si="6"/>
        <v>0</v>
      </c>
      <c r="G24" s="27"/>
      <c r="H24" s="24">
        <v>44392</v>
      </c>
      <c r="I24" s="12">
        <v>219745.12</v>
      </c>
      <c r="J24" s="58" t="s">
        <v>45</v>
      </c>
      <c r="K24" s="63" t="s">
        <v>46</v>
      </c>
      <c r="L24" s="61" t="s">
        <v>47</v>
      </c>
      <c r="M24" s="62"/>
      <c r="N24" s="62"/>
      <c r="O24" s="61"/>
    </row>
    <row r="25" s="1" customFormat="1" ht="18" customHeight="1" spans="1:15">
      <c r="A25" s="34"/>
      <c r="B25" s="35">
        <f t="shared" si="5"/>
        <v>0</v>
      </c>
      <c r="C25" s="36"/>
      <c r="D25" s="37"/>
      <c r="E25" s="39"/>
      <c r="F25" s="35">
        <f t="shared" si="6"/>
        <v>0</v>
      </c>
      <c r="G25" s="27"/>
      <c r="H25" s="24">
        <v>44390</v>
      </c>
      <c r="I25" s="12">
        <v>-219745.12</v>
      </c>
      <c r="J25" s="58" t="s">
        <v>43</v>
      </c>
      <c r="K25" s="60" t="s">
        <v>44</v>
      </c>
      <c r="L25" s="61"/>
      <c r="M25" s="62"/>
      <c r="N25" s="62"/>
      <c r="O25" s="61"/>
    </row>
    <row r="26" s="1" customFormat="1" ht="18" customHeight="1" spans="1:15">
      <c r="A26" s="34"/>
      <c r="B26" s="35">
        <f t="shared" si="5"/>
        <v>0</v>
      </c>
      <c r="C26" s="36"/>
      <c r="D26" s="37"/>
      <c r="E26" s="39"/>
      <c r="F26" s="35">
        <f t="shared" si="6"/>
        <v>0</v>
      </c>
      <c r="G26" s="27"/>
      <c r="H26" s="24">
        <v>44411</v>
      </c>
      <c r="I26" s="12">
        <v>-30000</v>
      </c>
      <c r="J26" s="58" t="s">
        <v>43</v>
      </c>
      <c r="K26" s="60" t="s">
        <v>44</v>
      </c>
      <c r="L26" s="61"/>
      <c r="M26" s="62"/>
      <c r="N26" s="62"/>
      <c r="O26" s="61"/>
    </row>
    <row r="27" s="1" customFormat="1" ht="18" customHeight="1" spans="1:15">
      <c r="A27" s="34"/>
      <c r="B27" s="35">
        <f t="shared" si="5"/>
        <v>0</v>
      </c>
      <c r="C27" s="36"/>
      <c r="D27" s="37"/>
      <c r="E27" s="39"/>
      <c r="F27" s="35">
        <f t="shared" si="6"/>
        <v>0</v>
      </c>
      <c r="G27" s="27"/>
      <c r="H27" s="24">
        <v>44414</v>
      </c>
      <c r="I27" s="12">
        <v>30000</v>
      </c>
      <c r="J27" s="58" t="s">
        <v>45</v>
      </c>
      <c r="K27" s="63" t="s">
        <v>51</v>
      </c>
      <c r="L27" s="61" t="s">
        <v>52</v>
      </c>
      <c r="M27" s="62" t="s">
        <v>53</v>
      </c>
      <c r="N27" s="62"/>
      <c r="O27" s="61"/>
    </row>
    <row r="28" s="1" customFormat="1" ht="18" customHeight="1" spans="1:15">
      <c r="A28" s="34"/>
      <c r="B28" s="35">
        <f t="shared" si="5"/>
        <v>0</v>
      </c>
      <c r="C28" s="36"/>
      <c r="D28" s="37"/>
      <c r="E28" s="39"/>
      <c r="F28" s="35">
        <f t="shared" si="6"/>
        <v>0</v>
      </c>
      <c r="G28" s="27"/>
      <c r="H28" s="24">
        <v>44417</v>
      </c>
      <c r="I28" s="12">
        <v>-17000</v>
      </c>
      <c r="J28" s="58" t="s">
        <v>43</v>
      </c>
      <c r="K28" s="60" t="s">
        <v>44</v>
      </c>
      <c r="L28" s="61"/>
      <c r="M28" s="62"/>
      <c r="N28" s="62"/>
      <c r="O28" s="61"/>
    </row>
    <row r="29" s="1" customFormat="1" ht="18" customHeight="1" spans="1:15">
      <c r="A29" s="34"/>
      <c r="B29" s="35">
        <f t="shared" si="5"/>
        <v>0</v>
      </c>
      <c r="C29" s="36"/>
      <c r="D29" s="37"/>
      <c r="E29" s="39"/>
      <c r="F29" s="35">
        <f t="shared" si="6"/>
        <v>0</v>
      </c>
      <c r="G29" s="27"/>
      <c r="H29" s="24">
        <v>44433</v>
      </c>
      <c r="I29" s="12">
        <v>17000</v>
      </c>
      <c r="J29" s="58" t="s">
        <v>45</v>
      </c>
      <c r="K29" s="63" t="s">
        <v>54</v>
      </c>
      <c r="L29" s="61" t="s">
        <v>55</v>
      </c>
      <c r="M29" s="62" t="s">
        <v>56</v>
      </c>
      <c r="N29" s="62"/>
      <c r="O29" s="61"/>
    </row>
    <row r="30" s="1" customFormat="1" ht="18" customHeight="1" spans="1:15">
      <c r="A30" s="34">
        <v>44440</v>
      </c>
      <c r="B30" s="35">
        <f t="shared" ref="B30:B45" si="7">ROUND(G30/(1+E30),2)</f>
        <v>676470.29</v>
      </c>
      <c r="C30" s="36" t="s">
        <v>57</v>
      </c>
      <c r="D30" s="37" t="s">
        <v>40</v>
      </c>
      <c r="E30" s="38">
        <v>0.13</v>
      </c>
      <c r="F30" s="35">
        <f t="shared" ref="F30:F45" si="8">ROUND(G30/(1+E30)*E30,2)</f>
        <v>87941.14</v>
      </c>
      <c r="G30" s="27">
        <f>111325.92+108419.2+70573.75+106922.52+102467.12+98701.2+96636.24+69365.48</f>
        <v>764411.43</v>
      </c>
      <c r="H30" s="24"/>
      <c r="I30" s="12"/>
      <c r="J30" s="58"/>
      <c r="K30" s="63" t="s">
        <v>46</v>
      </c>
      <c r="L30" s="61" t="s">
        <v>58</v>
      </c>
      <c r="M30" s="62" t="s">
        <v>59</v>
      </c>
      <c r="N30" s="62" t="s">
        <v>60</v>
      </c>
      <c r="O30" s="61"/>
    </row>
    <row r="31" s="1" customFormat="1" ht="18" customHeight="1" spans="1:15">
      <c r="A31" s="34">
        <v>44440</v>
      </c>
      <c r="B31" s="35">
        <f t="shared" si="7"/>
        <v>353982.3</v>
      </c>
      <c r="C31" s="36" t="s">
        <v>61</v>
      </c>
      <c r="D31" s="37" t="s">
        <v>40</v>
      </c>
      <c r="E31" s="38">
        <v>0.13</v>
      </c>
      <c r="F31" s="35">
        <f t="shared" si="8"/>
        <v>46017.7</v>
      </c>
      <c r="G31" s="40">
        <f>105000+100000+97500+97500</f>
        <v>400000</v>
      </c>
      <c r="H31" s="24"/>
      <c r="I31" s="12"/>
      <c r="J31" s="58"/>
      <c r="K31" s="63" t="s">
        <v>62</v>
      </c>
      <c r="L31" s="61" t="s">
        <v>63</v>
      </c>
      <c r="M31" s="62" t="s">
        <v>64</v>
      </c>
      <c r="N31" s="62"/>
      <c r="O31" s="61"/>
    </row>
    <row r="32" s="1" customFormat="1" ht="18" customHeight="1" spans="1:15">
      <c r="A32" s="34">
        <v>44440</v>
      </c>
      <c r="B32" s="35">
        <f t="shared" si="7"/>
        <v>49955.66</v>
      </c>
      <c r="C32" s="36" t="s">
        <v>39</v>
      </c>
      <c r="D32" s="37" t="s">
        <v>40</v>
      </c>
      <c r="E32" s="38">
        <v>0.13</v>
      </c>
      <c r="F32" s="35">
        <f t="shared" si="8"/>
        <v>6494.24</v>
      </c>
      <c r="G32" s="40">
        <v>56449.9</v>
      </c>
      <c r="H32" s="24"/>
      <c r="I32" s="12"/>
      <c r="J32" s="58"/>
      <c r="K32" s="63" t="s">
        <v>51</v>
      </c>
      <c r="L32" s="61" t="s">
        <v>65</v>
      </c>
      <c r="M32" s="62" t="s">
        <v>66</v>
      </c>
      <c r="N32" s="62"/>
      <c r="O32" s="61"/>
    </row>
    <row r="33" s="1" customFormat="1" ht="18" customHeight="1" spans="1:15">
      <c r="A33" s="34">
        <v>44440</v>
      </c>
      <c r="B33" s="35">
        <f t="shared" si="7"/>
        <v>265486.73</v>
      </c>
      <c r="C33" s="36" t="s">
        <v>67</v>
      </c>
      <c r="D33" s="37" t="s">
        <v>40</v>
      </c>
      <c r="E33" s="38">
        <v>0.13</v>
      </c>
      <c r="F33" s="35">
        <f t="shared" si="8"/>
        <v>34513.27</v>
      </c>
      <c r="G33" s="40">
        <f>74006.4+112996.8+112996.8</f>
        <v>300000</v>
      </c>
      <c r="H33" s="24"/>
      <c r="I33" s="12"/>
      <c r="J33" s="58"/>
      <c r="K33" s="65" t="s">
        <v>48</v>
      </c>
      <c r="L33" s="61" t="s">
        <v>50</v>
      </c>
      <c r="M33" s="62" t="s">
        <v>68</v>
      </c>
      <c r="N33" s="62"/>
      <c r="O33" s="61"/>
    </row>
    <row r="34" s="1" customFormat="1" ht="18" customHeight="1" spans="1:15">
      <c r="A34" s="34">
        <v>44440</v>
      </c>
      <c r="B34" s="35">
        <f t="shared" si="7"/>
        <v>19417.48</v>
      </c>
      <c r="C34" s="36" t="s">
        <v>39</v>
      </c>
      <c r="D34" s="37" t="s">
        <v>40</v>
      </c>
      <c r="E34" s="38">
        <v>0.03</v>
      </c>
      <c r="F34" s="35">
        <f t="shared" si="8"/>
        <v>582.52</v>
      </c>
      <c r="G34" s="40">
        <v>20000</v>
      </c>
      <c r="H34" s="24"/>
      <c r="I34" s="12"/>
      <c r="J34" s="58"/>
      <c r="K34" s="60" t="s">
        <v>69</v>
      </c>
      <c r="L34" s="61" t="s">
        <v>70</v>
      </c>
      <c r="M34" s="62" t="s">
        <v>71</v>
      </c>
      <c r="N34" s="62"/>
      <c r="O34" s="61"/>
    </row>
    <row r="35" s="1" customFormat="1" ht="18" customHeight="1" spans="1:15">
      <c r="A35" s="34">
        <v>44440</v>
      </c>
      <c r="B35" s="35">
        <f t="shared" si="7"/>
        <v>5171.68</v>
      </c>
      <c r="C35" s="36" t="s">
        <v>39</v>
      </c>
      <c r="D35" s="37" t="s">
        <v>40</v>
      </c>
      <c r="E35" s="38">
        <v>0.13</v>
      </c>
      <c r="F35" s="35">
        <f t="shared" si="8"/>
        <v>672.32</v>
      </c>
      <c r="G35" s="40">
        <v>5844</v>
      </c>
      <c r="H35" s="24"/>
      <c r="I35" s="12"/>
      <c r="J35" s="58"/>
      <c r="K35" s="60" t="s">
        <v>72</v>
      </c>
      <c r="L35" s="61" t="s">
        <v>73</v>
      </c>
      <c r="M35" s="62"/>
      <c r="N35" s="62"/>
      <c r="O35" s="61"/>
    </row>
    <row r="36" s="1" customFormat="1" ht="18" customHeight="1" spans="1:15">
      <c r="A36" s="34">
        <v>44440</v>
      </c>
      <c r="B36" s="35">
        <f t="shared" si="7"/>
        <v>5523.89</v>
      </c>
      <c r="C36" s="36" t="s">
        <v>39</v>
      </c>
      <c r="D36" s="37" t="s">
        <v>40</v>
      </c>
      <c r="E36" s="38">
        <v>0.13</v>
      </c>
      <c r="F36" s="35">
        <f t="shared" si="8"/>
        <v>718.11</v>
      </c>
      <c r="G36" s="40">
        <v>6242</v>
      </c>
      <c r="H36" s="24"/>
      <c r="I36" s="12"/>
      <c r="J36" s="58"/>
      <c r="K36" s="60" t="s">
        <v>74</v>
      </c>
      <c r="L36" s="61" t="s">
        <v>75</v>
      </c>
      <c r="M36" s="62"/>
      <c r="N36" s="62"/>
      <c r="O36" s="61"/>
    </row>
    <row r="37" s="1" customFormat="1" ht="18" customHeight="1" spans="1:15">
      <c r="A37" s="34">
        <v>44440</v>
      </c>
      <c r="B37" s="35">
        <f t="shared" si="7"/>
        <v>10000</v>
      </c>
      <c r="C37" s="36" t="s">
        <v>39</v>
      </c>
      <c r="D37" s="37" t="s">
        <v>40</v>
      </c>
      <c r="E37" s="38">
        <v>0.09</v>
      </c>
      <c r="F37" s="35">
        <f t="shared" si="8"/>
        <v>900</v>
      </c>
      <c r="G37" s="27">
        <v>10900</v>
      </c>
      <c r="H37" s="24"/>
      <c r="I37" s="12"/>
      <c r="J37" s="58"/>
      <c r="K37" s="60" t="s">
        <v>76</v>
      </c>
      <c r="L37" s="61" t="s">
        <v>77</v>
      </c>
      <c r="M37" s="62"/>
      <c r="N37" s="62"/>
      <c r="O37" s="61"/>
    </row>
    <row r="38" s="1" customFormat="1" ht="18" customHeight="1" spans="1:15">
      <c r="A38" s="34">
        <v>44440</v>
      </c>
      <c r="B38" s="35">
        <f t="shared" si="7"/>
        <v>3794.5</v>
      </c>
      <c r="C38" s="36" t="s">
        <v>78</v>
      </c>
      <c r="D38" s="37" t="s">
        <v>40</v>
      </c>
      <c r="E38" s="38">
        <v>0.13</v>
      </c>
      <c r="F38" s="35">
        <f t="shared" si="8"/>
        <v>493.29</v>
      </c>
      <c r="G38" s="27">
        <f>1593.51+184.08+692.94+782.81+1034.45</f>
        <v>4287.79</v>
      </c>
      <c r="H38" s="24"/>
      <c r="I38" s="12"/>
      <c r="J38" s="58"/>
      <c r="K38" s="60" t="s">
        <v>79</v>
      </c>
      <c r="L38" s="61" t="s">
        <v>80</v>
      </c>
      <c r="M38" s="62"/>
      <c r="N38" s="62"/>
      <c r="O38" s="61"/>
    </row>
    <row r="39" s="1" customFormat="1" ht="18" customHeight="1" spans="1:15">
      <c r="A39" s="34"/>
      <c r="B39" s="35"/>
      <c r="C39" s="36"/>
      <c r="D39" s="37"/>
      <c r="E39" s="38"/>
      <c r="F39" s="35"/>
      <c r="G39" s="27"/>
      <c r="H39" s="24"/>
      <c r="I39" s="66">
        <v>546511</v>
      </c>
      <c r="J39" s="64" t="s">
        <v>23</v>
      </c>
      <c r="K39" s="67" t="s">
        <v>81</v>
      </c>
      <c r="L39" s="61" t="s">
        <v>82</v>
      </c>
      <c r="M39" s="62" t="s">
        <v>83</v>
      </c>
      <c r="N39" s="62"/>
      <c r="O39" s="61"/>
    </row>
    <row r="40" s="1" customFormat="1" ht="18" customHeight="1" spans="1:15">
      <c r="A40" s="34"/>
      <c r="B40" s="35"/>
      <c r="C40" s="36"/>
      <c r="D40" s="37"/>
      <c r="E40" s="38"/>
      <c r="F40" s="35"/>
      <c r="G40" s="27"/>
      <c r="H40" s="24"/>
      <c r="I40" s="66">
        <v>44666.31</v>
      </c>
      <c r="J40" s="64" t="s">
        <v>45</v>
      </c>
      <c r="K40" s="67" t="s">
        <v>46</v>
      </c>
      <c r="L40" s="61" t="s">
        <v>47</v>
      </c>
      <c r="M40" s="62"/>
      <c r="N40" s="62"/>
      <c r="O40" s="61"/>
    </row>
    <row r="41" s="1" customFormat="1" ht="18" customHeight="1" spans="1:15">
      <c r="A41" s="34"/>
      <c r="B41" s="35"/>
      <c r="C41" s="36"/>
      <c r="D41" s="37"/>
      <c r="E41" s="38"/>
      <c r="F41" s="35"/>
      <c r="G41" s="27"/>
      <c r="H41" s="24"/>
      <c r="I41" s="67">
        <v>26449.9</v>
      </c>
      <c r="J41" s="64" t="s">
        <v>45</v>
      </c>
      <c r="K41" s="67" t="s">
        <v>51</v>
      </c>
      <c r="L41" s="61" t="s">
        <v>65</v>
      </c>
      <c r="M41" s="62"/>
      <c r="N41" s="62"/>
      <c r="O41" s="61"/>
    </row>
    <row r="42" s="1" customFormat="1" ht="18" customHeight="1" spans="1:15">
      <c r="A42" s="34"/>
      <c r="B42" s="35"/>
      <c r="C42" s="36"/>
      <c r="D42" s="37"/>
      <c r="E42" s="38"/>
      <c r="F42" s="35"/>
      <c r="G42" s="27"/>
      <c r="H42" s="24"/>
      <c r="I42" s="12"/>
      <c r="J42" s="58"/>
      <c r="K42" s="60"/>
      <c r="L42" s="61"/>
      <c r="M42" s="62"/>
      <c r="N42" s="62"/>
      <c r="O42" s="61"/>
    </row>
    <row r="43" s="1" customFormat="1" ht="18" customHeight="1" spans="1:15">
      <c r="A43" s="34"/>
      <c r="B43" s="35"/>
      <c r="C43" s="36"/>
      <c r="D43" s="37"/>
      <c r="E43" s="38"/>
      <c r="F43" s="35"/>
      <c r="G43" s="27"/>
      <c r="H43" s="24"/>
      <c r="I43" s="12"/>
      <c r="J43" s="58"/>
      <c r="K43" s="60"/>
      <c r="L43" s="61"/>
      <c r="M43" s="62"/>
      <c r="N43" s="62"/>
      <c r="O43" s="61"/>
    </row>
    <row r="44" s="1" customFormat="1" ht="18" customHeight="1" spans="1:15">
      <c r="A44" s="34"/>
      <c r="B44" s="35"/>
      <c r="C44" s="36"/>
      <c r="D44" s="37"/>
      <c r="E44" s="38"/>
      <c r="F44" s="35"/>
      <c r="G44" s="27"/>
      <c r="H44" s="24"/>
      <c r="I44" s="12"/>
      <c r="J44" s="58"/>
      <c r="K44" s="60"/>
      <c r="L44" s="61"/>
      <c r="M44" s="62"/>
      <c r="N44" s="62"/>
      <c r="O44" s="61"/>
    </row>
    <row r="45" s="1" customFormat="1" ht="18" customHeight="1" spans="1:15">
      <c r="A45" s="34"/>
      <c r="B45" s="35"/>
      <c r="C45" s="36"/>
      <c r="D45" s="37"/>
      <c r="E45" s="38"/>
      <c r="F45" s="35"/>
      <c r="G45" s="27"/>
      <c r="H45" s="24"/>
      <c r="I45" s="12"/>
      <c r="J45" s="58"/>
      <c r="K45" s="60"/>
      <c r="L45" s="61"/>
      <c r="M45" s="62"/>
      <c r="N45" s="62"/>
      <c r="O45" s="61"/>
    </row>
    <row r="46" s="1" customFormat="1" ht="18" customHeight="1" spans="1:15">
      <c r="A46" s="34"/>
      <c r="B46" s="35"/>
      <c r="C46" s="36"/>
      <c r="D46" s="37"/>
      <c r="E46" s="38"/>
      <c r="F46" s="35"/>
      <c r="G46" s="27"/>
      <c r="H46" s="24"/>
      <c r="I46" s="12"/>
      <c r="J46" s="58"/>
      <c r="K46" s="60"/>
      <c r="L46" s="61"/>
      <c r="M46" s="62"/>
      <c r="N46" s="62"/>
      <c r="O46" s="61"/>
    </row>
    <row r="47" s="1" customFormat="1" ht="18" customHeight="1" spans="1:15">
      <c r="A47" s="34"/>
      <c r="B47" s="35"/>
      <c r="C47" s="36"/>
      <c r="D47" s="37"/>
      <c r="E47" s="38"/>
      <c r="F47" s="35"/>
      <c r="G47" s="27"/>
      <c r="H47" s="24"/>
      <c r="I47" s="12"/>
      <c r="J47" s="58"/>
      <c r="K47" s="60"/>
      <c r="L47" s="61"/>
      <c r="M47" s="62"/>
      <c r="N47" s="62"/>
      <c r="O47" s="61"/>
    </row>
    <row r="48" s="1" customFormat="1" ht="18" customHeight="1" spans="1:15">
      <c r="A48" s="34"/>
      <c r="B48" s="35"/>
      <c r="C48" s="36"/>
      <c r="D48" s="37"/>
      <c r="E48" s="38"/>
      <c r="F48" s="35"/>
      <c r="G48" s="27"/>
      <c r="H48" s="24"/>
      <c r="I48" s="12"/>
      <c r="J48" s="58"/>
      <c r="K48" s="60"/>
      <c r="L48" s="61"/>
      <c r="M48" s="62"/>
      <c r="N48" s="62"/>
      <c r="O48" s="61"/>
    </row>
    <row r="49" s="1" customFormat="1" ht="18" customHeight="1" spans="1:15">
      <c r="A49" s="34"/>
      <c r="B49" s="35">
        <f>ROUND(G49/(1+E49),2)</f>
        <v>0</v>
      </c>
      <c r="C49" s="36"/>
      <c r="D49" s="37"/>
      <c r="E49" s="39"/>
      <c r="F49" s="35">
        <f>ROUND(G49/(1+E49)*E49,2)</f>
        <v>0</v>
      </c>
      <c r="G49" s="27"/>
      <c r="H49" s="24"/>
      <c r="I49" s="12"/>
      <c r="J49" s="58"/>
      <c r="K49" s="60"/>
      <c r="L49" s="61"/>
      <c r="M49" s="62"/>
      <c r="N49" s="62"/>
      <c r="O49" s="61"/>
    </row>
    <row r="50" s="1" customFormat="1" ht="18" customHeight="1" spans="1:15">
      <c r="A50" s="34"/>
      <c r="B50" s="35">
        <f>ROUND(G50/(1+E50),2)</f>
        <v>0</v>
      </c>
      <c r="C50" s="36"/>
      <c r="D50" s="37"/>
      <c r="E50" s="39"/>
      <c r="F50" s="35">
        <f>ROUND(G50/(1+E50)*E50,2)</f>
        <v>0</v>
      </c>
      <c r="G50" s="27"/>
      <c r="H50" s="24"/>
      <c r="I50" s="12"/>
      <c r="J50" s="58"/>
      <c r="K50" s="60"/>
      <c r="L50" s="61"/>
      <c r="M50" s="62"/>
      <c r="N50" s="62"/>
      <c r="O50" s="61"/>
    </row>
    <row r="51" s="1" customFormat="1" ht="18" customHeight="1" spans="1:15">
      <c r="A51" s="34"/>
      <c r="B51" s="35">
        <f>ROUND(G51/(1+E51),2)</f>
        <v>0</v>
      </c>
      <c r="C51" s="36"/>
      <c r="D51" s="37"/>
      <c r="E51" s="39"/>
      <c r="F51" s="35">
        <f>ROUND(G51/(1+E51)*E51,2)</f>
        <v>0</v>
      </c>
      <c r="G51" s="27"/>
      <c r="H51" s="24"/>
      <c r="I51" s="12"/>
      <c r="J51" s="58"/>
      <c r="K51" s="60"/>
      <c r="L51" s="61"/>
      <c r="M51" s="62"/>
      <c r="N51" s="62"/>
      <c r="O51" s="61"/>
    </row>
    <row r="52" s="1" customFormat="1" ht="18" customHeight="1" spans="1:15">
      <c r="A52" s="34"/>
      <c r="B52" s="35">
        <f>ROUND(G52/(1+E52),2)</f>
        <v>0</v>
      </c>
      <c r="C52" s="36"/>
      <c r="D52" s="37"/>
      <c r="E52" s="39"/>
      <c r="F52" s="35">
        <f>ROUND(G52/(1+E52)*E52,2)</f>
        <v>0</v>
      </c>
      <c r="G52" s="27"/>
      <c r="H52" s="24"/>
      <c r="I52" s="12"/>
      <c r="J52" s="58"/>
      <c r="K52" s="60"/>
      <c r="L52" s="61"/>
      <c r="M52" s="62"/>
      <c r="N52" s="62"/>
      <c r="O52" s="61"/>
    </row>
    <row r="53" s="1" customFormat="1" ht="18" customHeight="1" spans="1:15">
      <c r="A53" s="34"/>
      <c r="B53" s="35">
        <f>ROUND(G53/(1+E53),2)</f>
        <v>0</v>
      </c>
      <c r="C53" s="36"/>
      <c r="D53" s="37"/>
      <c r="E53" s="39"/>
      <c r="F53" s="35">
        <f>ROUND(G53/(1+E53)*E53,2)</f>
        <v>0</v>
      </c>
      <c r="G53" s="27"/>
      <c r="H53" s="24">
        <v>44466</v>
      </c>
      <c r="I53" s="12">
        <v>850</v>
      </c>
      <c r="J53" s="58" t="s">
        <v>84</v>
      </c>
      <c r="K53" s="60" t="s">
        <v>85</v>
      </c>
      <c r="L53" s="61"/>
      <c r="M53" s="62"/>
      <c r="N53" s="62"/>
      <c r="O53" s="61"/>
    </row>
    <row r="54" s="1" customFormat="1" ht="18" customHeight="1" spans="1:15">
      <c r="A54" s="34"/>
      <c r="B54" s="35">
        <f>ROUND(G54/(1+E54),2)</f>
        <v>54735.24</v>
      </c>
      <c r="C54" s="36"/>
      <c r="D54" s="37"/>
      <c r="E54" s="39"/>
      <c r="F54" s="35">
        <f>ROUND(G54/(1+E54)*E54,2)</f>
        <v>0</v>
      </c>
      <c r="G54" s="27">
        <v>54735.24</v>
      </c>
      <c r="H54" s="24">
        <v>44466</v>
      </c>
      <c r="I54" s="12">
        <f>(I7+I8)*0.02</f>
        <v>54735.24</v>
      </c>
      <c r="J54" s="58" t="s">
        <v>84</v>
      </c>
      <c r="K54" s="60" t="s">
        <v>86</v>
      </c>
      <c r="L54" s="61"/>
      <c r="M54" s="62"/>
      <c r="N54" s="62"/>
      <c r="O54" s="61"/>
    </row>
    <row r="55" s="1" customFormat="1" ht="18" customHeight="1" spans="1:15">
      <c r="A55" s="34"/>
      <c r="B55" s="35">
        <f>ROUND(G55/(1+E55),2)</f>
        <v>0</v>
      </c>
      <c r="C55" s="36"/>
      <c r="D55" s="37"/>
      <c r="E55" s="39"/>
      <c r="F55" s="35">
        <f>ROUND(G55/(1+E55)*E55,2)</f>
        <v>0</v>
      </c>
      <c r="G55" s="27"/>
      <c r="H55" s="24">
        <v>44466</v>
      </c>
      <c r="I55" s="12">
        <v>58569.21</v>
      </c>
      <c r="J55" s="58" t="s">
        <v>84</v>
      </c>
      <c r="K55" s="60" t="s">
        <v>87</v>
      </c>
      <c r="L55" s="61"/>
      <c r="M55" s="62"/>
      <c r="N55" s="62"/>
      <c r="O55" s="61"/>
    </row>
    <row r="56" ht="18" customHeight="1" spans="1:15">
      <c r="A56" s="30" t="s">
        <v>25</v>
      </c>
      <c r="B56" s="29">
        <f>SUM(B14:B55)</f>
        <v>1505844.37</v>
      </c>
      <c r="C56" s="30"/>
      <c r="D56" s="41"/>
      <c r="E56" s="41"/>
      <c r="F56" s="31">
        <f>SUM(F14:F55)</f>
        <v>182010.99</v>
      </c>
      <c r="G56" s="42">
        <f>SUM(G14:G55)</f>
        <v>1687855.36</v>
      </c>
      <c r="H56" s="43"/>
      <c r="I56" s="30">
        <f>SUM(I14:I55)</f>
        <v>731781.66</v>
      </c>
      <c r="J56" s="68"/>
      <c r="K56" s="41"/>
      <c r="L56" s="32"/>
      <c r="M56" s="58"/>
      <c r="N56" s="58"/>
      <c r="O56" s="32"/>
    </row>
    <row r="57" ht="18" customHeight="1" spans="1:14">
      <c r="A57" s="44" t="s">
        <v>88</v>
      </c>
      <c r="B57" s="44">
        <f>B11*0.96</f>
        <v>2410359.19266055</v>
      </c>
      <c r="C57" s="44"/>
      <c r="D57" s="45"/>
      <c r="E57" s="45"/>
      <c r="F57" s="46"/>
      <c r="G57" s="46">
        <f>G11-G56</f>
        <v>1048906.64</v>
      </c>
      <c r="H57" s="23" t="s">
        <v>89</v>
      </c>
      <c r="I57" s="30">
        <f>I11-I56</f>
        <v>2004980.34</v>
      </c>
      <c r="J57" s="6"/>
      <c r="K57" s="69"/>
      <c r="M57" s="47"/>
      <c r="N57" s="47"/>
    </row>
    <row r="58" ht="18" customHeight="1" spans="1:14">
      <c r="A58" s="44" t="s">
        <v>90</v>
      </c>
      <c r="B58" s="44">
        <f>B57-B56</f>
        <v>904514.822660548</v>
      </c>
      <c r="C58" s="44"/>
      <c r="D58" s="45"/>
      <c r="E58" s="45"/>
      <c r="F58" s="46"/>
      <c r="G58" s="46"/>
      <c r="H58" s="47"/>
      <c r="I58" s="46"/>
      <c r="J58" s="6"/>
      <c r="K58" s="69"/>
      <c r="M58" s="47"/>
      <c r="N58" s="47"/>
    </row>
    <row r="59" ht="18" customHeight="1" spans="1:3">
      <c r="A59" s="2" t="s">
        <v>91</v>
      </c>
      <c r="B59" s="3">
        <f>B58*0.25</f>
        <v>226128.705665137</v>
      </c>
      <c r="C59" s="2"/>
    </row>
    <row r="60" ht="18" customHeight="1" spans="1:7">
      <c r="A60" s="23" t="s">
        <v>92</v>
      </c>
      <c r="B60" s="22" t="s">
        <v>93</v>
      </c>
      <c r="C60" s="32"/>
      <c r="D60" s="23" t="s">
        <v>92</v>
      </c>
      <c r="E60" s="21" t="s">
        <v>18</v>
      </c>
      <c r="F60" s="22" t="s">
        <v>93</v>
      </c>
      <c r="G60" s="48" t="s">
        <v>94</v>
      </c>
    </row>
    <row r="61" ht="18" customHeight="1" spans="1:7">
      <c r="A61" s="32" t="s">
        <v>95</v>
      </c>
      <c r="B61" s="18">
        <f>(B57-B56)*0.25</f>
        <v>226128.705665137</v>
      </c>
      <c r="C61" s="32"/>
      <c r="D61" s="28" t="s">
        <v>96</v>
      </c>
      <c r="E61" s="23" t="s">
        <v>97</v>
      </c>
      <c r="F61" s="31">
        <f>F11-F56</f>
        <v>-6255.63220183496</v>
      </c>
      <c r="G61" s="49">
        <f>D7</f>
        <v>50215.8165137615</v>
      </c>
    </row>
    <row r="62" ht="18" customHeight="1" spans="1:7">
      <c r="A62" s="32" t="s">
        <v>98</v>
      </c>
      <c r="B62" s="50">
        <f>G7*0.0003</f>
        <v>821.0286</v>
      </c>
      <c r="C62" s="32"/>
      <c r="D62" s="51" t="s">
        <v>99</v>
      </c>
      <c r="E62" s="14">
        <v>0.07</v>
      </c>
      <c r="F62" s="12">
        <f>F61*E62</f>
        <v>-437.894254128447</v>
      </c>
      <c r="G62" s="52">
        <f>G61*E62</f>
        <v>3515.1071559633</v>
      </c>
    </row>
    <row r="63" ht="18" customHeight="1" spans="1:9">
      <c r="A63" s="32" t="s">
        <v>100</v>
      </c>
      <c r="B63" s="50">
        <f>B11*0.0006</f>
        <v>1506.47449541284</v>
      </c>
      <c r="C63" s="32"/>
      <c r="D63" s="51" t="s">
        <v>101</v>
      </c>
      <c r="E63" s="14">
        <v>0.03</v>
      </c>
      <c r="F63" s="12">
        <f>F61*E63</f>
        <v>-187.668966055049</v>
      </c>
      <c r="G63" s="52">
        <f>G61*E63</f>
        <v>1506.47449541284</v>
      </c>
      <c r="I63" s="5"/>
    </row>
    <row r="64" ht="18" customHeight="1" spans="1:7">
      <c r="A64" s="32"/>
      <c r="B64" s="48"/>
      <c r="C64" s="32"/>
      <c r="D64" s="51" t="s">
        <v>102</v>
      </c>
      <c r="E64" s="14">
        <v>0.02</v>
      </c>
      <c r="F64" s="12">
        <f>F61*E64</f>
        <v>-125.112644036699</v>
      </c>
      <c r="G64" s="52">
        <f>G61*E64</f>
        <v>1004.31633027523</v>
      </c>
    </row>
    <row r="65" ht="18" customHeight="1" spans="1:7">
      <c r="A65" s="28" t="s">
        <v>103</v>
      </c>
      <c r="B65" s="70">
        <f>SUM(B61:B64)</f>
        <v>228456.20876055</v>
      </c>
      <c r="C65" s="32"/>
      <c r="D65" s="33" t="s">
        <v>103</v>
      </c>
      <c r="E65" s="28"/>
      <c r="F65" s="31">
        <f>SUM(F61:F64)</f>
        <v>-7006.30806605515</v>
      </c>
      <c r="G65" s="49">
        <f>SUM(G61:G64)</f>
        <v>56241.7144954129</v>
      </c>
    </row>
    <row r="66" ht="18" customHeight="1" spans="3:7">
      <c r="C66" s="2"/>
      <c r="D66" s="12" t="s">
        <v>98</v>
      </c>
      <c r="E66" s="63">
        <v>0.0003</v>
      </c>
      <c r="F66" s="12">
        <f>G11*E66</f>
        <v>821.0286</v>
      </c>
      <c r="G66" s="52">
        <f>G7*E66</f>
        <v>821.0286</v>
      </c>
    </row>
    <row r="67" ht="18" customHeight="1" spans="3:7">
      <c r="C67" s="2"/>
      <c r="D67" s="12" t="s">
        <v>100</v>
      </c>
      <c r="E67" s="63">
        <v>0.0006</v>
      </c>
      <c r="F67" s="12">
        <f>B11*E67</f>
        <v>1506.47449541284</v>
      </c>
      <c r="G67" s="52">
        <f>B7*E67</f>
        <v>1506.47449541284</v>
      </c>
    </row>
    <row r="68" ht="18" customHeight="1" spans="3:7">
      <c r="C68" s="2"/>
      <c r="D68" s="21" t="s">
        <v>103</v>
      </c>
      <c r="E68" s="41"/>
      <c r="F68" s="30">
        <f>F67+F66</f>
        <v>2327.50309541284</v>
      </c>
      <c r="G68" s="71">
        <f>SUM(G66:G67)</f>
        <v>2327.50309541284</v>
      </c>
    </row>
    <row r="69" ht="18" customHeight="1" spans="3:7">
      <c r="C69" s="2"/>
      <c r="D69" s="21" t="s">
        <v>25</v>
      </c>
      <c r="E69" s="30"/>
      <c r="F69" s="30">
        <f>F65+F68</f>
        <v>-4678.80497064232</v>
      </c>
      <c r="G69" s="71">
        <v>58569.21</v>
      </c>
    </row>
    <row r="70" ht="18" customHeight="1" spans="3:7">
      <c r="C70" s="2"/>
      <c r="D70" s="30" t="s">
        <v>95</v>
      </c>
      <c r="E70" s="41">
        <v>0.01</v>
      </c>
      <c r="F70" s="30">
        <f>G11*E70</f>
        <v>27367.62</v>
      </c>
      <c r="G70" s="71">
        <f>G7*E70</f>
        <v>27367.62</v>
      </c>
    </row>
    <row r="71" ht="18" customHeight="1" spans="3:3">
      <c r="C71" s="2"/>
    </row>
    <row r="72" ht="18" customHeight="1" spans="3:3">
      <c r="C72" s="2"/>
    </row>
    <row r="73" ht="18" customHeight="1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  <row r="78" spans="3:3">
      <c r="C78" s="2"/>
    </row>
    <row r="79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</sheetData>
  <autoFilter ref="A13:O7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2021-09-27T01:50:01Z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3BECFAC4821C42958C10FBDE76A68BEF</vt:lpwstr>
  </property>
</Properties>
</file>