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Sheet1!$A$18:$O$84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6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6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<sst xmlns="http://schemas.openxmlformats.org/spreadsheetml/2006/main" count="196" uniqueCount="98">
  <si>
    <t>C12890 广德路项目照明工程</t>
  </si>
  <si>
    <t>中标日期</t>
  </si>
  <si>
    <t>中标价</t>
  </si>
  <si>
    <t>负责人</t>
  </si>
  <si>
    <t>孙容</t>
  </si>
  <si>
    <t>建设单位</t>
  </si>
  <si>
    <t>安徽省交通建设股份有限公司   9134 0000 1489 5335 07（专）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</si>
  <si>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</si>
  <si>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</si>
  <si>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</si>
  <si>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</si>
  <si>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</si>
  <si>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</si>
  <si>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</si>
  <si>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</si>
  <si>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</si>
  <si>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</si>
  <si>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</si>
  <si>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</si>
  <si>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</si>
  <si>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</si>
  <si>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</si>
  <si>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</si>
  <si>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</si>
  <si>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</si>
  <si>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</si>
  <si>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</si>
  <si>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</si>
  <si>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</si>
  <si>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</si>
  <si>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</si>
  <si>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</si>
  <si>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</si>
  <si>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</si>
  <si>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</si>
  <si>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</si>
  <si>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3份</t>
  </si>
  <si>
    <t>专</t>
  </si>
  <si>
    <t>安徽潇然建设工程有限公司</t>
  </si>
  <si>
    <t>工程服务</t>
  </si>
  <si>
    <t>12890-2021-001-补录（2020-790#）-2205111</t>
  </si>
  <si>
    <t>中行</t>
  </si>
  <si>
    <t>2份</t>
  </si>
  <si>
    <t>4份</t>
  </si>
  <si>
    <t>12890-2022-002#（2022-287号）-690451</t>
  </si>
  <si>
    <t>普（邮政代）</t>
  </si>
  <si>
    <t>孙业顺</t>
  </si>
  <si>
    <t>施工费</t>
  </si>
  <si>
    <t>12890-2022-003#（2022-289号）-399750</t>
  </si>
  <si>
    <t>陈冬生</t>
  </si>
  <si>
    <t>工程款</t>
  </si>
  <si>
    <t>12890-2022-001#（2022-286号）-325980</t>
  </si>
  <si>
    <t>普</t>
  </si>
  <si>
    <t>庐江县台创园优加打印店</t>
  </si>
  <si>
    <t>标牌</t>
  </si>
  <si>
    <t>合肥市包河区传振电子产品经营部</t>
  </si>
  <si>
    <t>交换机等</t>
  </si>
  <si>
    <t>庐江县台创园远兮交通器材经营部</t>
  </si>
  <si>
    <t>护栏</t>
  </si>
  <si>
    <t>庐江县台创园其修五金用品经营部</t>
  </si>
  <si>
    <t>线缆</t>
  </si>
  <si>
    <t>庐江县台创园环森办公用品经营部</t>
  </si>
  <si>
    <t>办公桌椅等</t>
  </si>
  <si>
    <t>徽行</t>
  </si>
  <si>
    <t>扣</t>
  </si>
  <si>
    <t>转账手续费</t>
  </si>
  <si>
    <t>管理费（扣至合同价）</t>
  </si>
  <si>
    <t>补扣</t>
  </si>
  <si>
    <t>2021.1.15工程地缴税2%增值税及附加、印花税、水利基金</t>
  </si>
  <si>
    <t>企业所得税开票金额1%</t>
  </si>
  <si>
    <t>5月份工程地缴税2%增值税及附加、印花税、水利基金</t>
  </si>
  <si>
    <t>4月份工程地缴税2%增值税及附加、印花税、水利基金</t>
  </si>
  <si>
    <t>管理费到账工程款1%</t>
  </si>
  <si>
    <t>工程地缴税2%增值税及附加、印花税、水利基金</t>
  </si>
  <si>
    <t>2021年8月印花税、水利基金</t>
  </si>
  <si>
    <t>2021年8月工程地缴税2%</t>
  </si>
  <si>
    <t>1次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</si>
  <si>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</si>
  <si>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</si>
  <si>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</si>
  <si>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</si>
  <si>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</si>
  <si>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</si>
  <si>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2020年12月工程地缴税2%</t>
  </si>
  <si>
    <t>2021年8月开票税金</t>
  </si>
  <si>
    <t>2022年1月工程地缴税2%</t>
  </si>
  <si>
    <t>2022年1月开票税金</t>
  </si>
  <si>
    <t>2022年4月工程地缴税2%</t>
  </si>
  <si>
    <t>2022年5月工程地缴税2%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</si>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</sst>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3" fillId="6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 wrapText="1"/>
    </xf>
    <xf numFmtId="177" fontId="7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8" fontId="7" fillId="0" borderId="6" xfId="0" applyNumberFormat="1" applyFont="1" applyBorder="1" applyAlignment="1">
      <alignment vertical="center"/>
    </xf>
    <xf numFmtId="178" fontId="7" fillId="4" borderId="7" xfId="0" applyNumberFormat="1" applyFont="1" applyFill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7" fillId="4" borderId="8" xfId="0" applyNumberFormat="1" applyFont="1" applyFill="1" applyBorder="1" applyAlignment="1">
      <alignment vertical="center"/>
    </xf>
    <xf numFmtId="178" fontId="7" fillId="0" borderId="8" xfId="0" applyNumberFormat="1" applyFont="1" applyBorder="1" applyAlignment="1">
      <alignment vertical="center"/>
    </xf>
    <xf numFmtId="178" fontId="7" fillId="0" borderId="9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topLeftCell="A28" workbookViewId="0">
      <selection activeCell="B44" sqref="B43:B44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7.66666666666667" style="5" customWidth="1"/>
    <col min="11" max="11" width="39.375" style="6" customWidth="1"/>
    <col min="12" max="12" width="12.775" style="6" customWidth="1"/>
    <col min="13" max="13" width="31.5" style="6" customWidth="1"/>
    <col min="14" max="14" width="5.66666666666667" style="6" customWidth="1"/>
    <col min="15" max="15" width="18.1083333333333" style="6" customWidth="1"/>
    <col min="16" max="16384" width="9" style="6"/>
  </cols>
  <sheetData>
    <row r="1" ht="21.9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44084</v>
      </c>
      <c r="C2" s="12" t="s">
        <v>2</v>
      </c>
      <c r="D2" s="13">
        <v>4673938.31</v>
      </c>
      <c r="E2" s="14" t="s">
        <v>3</v>
      </c>
      <c r="F2" s="15" t="s">
        <v>4</v>
      </c>
      <c r="G2" s="16" t="s">
        <v>5</v>
      </c>
      <c r="H2" s="17" t="s">
        <v>6</v>
      </c>
      <c r="I2" s="49"/>
      <c r="J2" s="50"/>
      <c r="K2" s="51"/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52"/>
      <c r="J3" s="20"/>
      <c r="K3" s="20"/>
      <c r="L3" s="20"/>
    </row>
    <row r="4" ht="18" customHeight="1" spans="1:12">
      <c r="A4" s="2" t="s">
        <v>9</v>
      </c>
      <c r="H4" s="20"/>
      <c r="I4" s="52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44174</v>
      </c>
      <c r="B7" s="12">
        <f t="shared" ref="B7:B9" si="0">G7/(1+C7+E7)</f>
        <v>337673.394495413</v>
      </c>
      <c r="C7" s="25">
        <v>0.02</v>
      </c>
      <c r="D7" s="26">
        <f t="shared" ref="D7:D9" si="1">G7/(1+E7+C7)*C7</f>
        <v>6753.46788990826</v>
      </c>
      <c r="E7" s="25">
        <v>0.07</v>
      </c>
      <c r="F7" s="12">
        <f t="shared" ref="F7:F9" si="2">G7/(1+C7+E7)*E7</f>
        <v>23637.1376146789</v>
      </c>
      <c r="G7" s="27">
        <v>368064</v>
      </c>
      <c r="H7" s="24">
        <v>44195</v>
      </c>
      <c r="I7" s="12">
        <v>220838.4</v>
      </c>
      <c r="J7" s="53" t="s">
        <v>21</v>
      </c>
    </row>
    <row r="8" ht="18" customHeight="1" spans="1:10">
      <c r="A8" s="24">
        <v>44432</v>
      </c>
      <c r="B8" s="12">
        <f t="shared" si="0"/>
        <v>516759.908256881</v>
      </c>
      <c r="C8" s="25">
        <v>0.02</v>
      </c>
      <c r="D8" s="26">
        <f t="shared" si="1"/>
        <v>10335.1981651376</v>
      </c>
      <c r="E8" s="25">
        <v>0.07</v>
      </c>
      <c r="F8" s="12">
        <f t="shared" si="2"/>
        <v>36173.1935779817</v>
      </c>
      <c r="G8" s="27">
        <v>563268.3</v>
      </c>
      <c r="H8" s="24">
        <v>44223</v>
      </c>
      <c r="I8" s="12">
        <v>17309.89</v>
      </c>
      <c r="J8" s="53" t="s">
        <v>21</v>
      </c>
    </row>
    <row r="9" ht="18" customHeight="1" spans="1:10">
      <c r="A9" s="24">
        <v>44572</v>
      </c>
      <c r="B9" s="12">
        <f t="shared" si="0"/>
        <v>389756.651376147</v>
      </c>
      <c r="C9" s="25">
        <v>0.02</v>
      </c>
      <c r="D9" s="26">
        <f t="shared" si="1"/>
        <v>7795.13302752294</v>
      </c>
      <c r="E9" s="25">
        <v>0.07</v>
      </c>
      <c r="F9" s="12">
        <f t="shared" si="2"/>
        <v>27282.9655963303</v>
      </c>
      <c r="G9" s="27">
        <v>424834.75</v>
      </c>
      <c r="H9" s="24">
        <v>44438</v>
      </c>
      <c r="I9" s="12">
        <v>450614.64</v>
      </c>
      <c r="J9" s="53" t="s">
        <v>21</v>
      </c>
    </row>
    <row r="10" ht="18" customHeight="1" spans="1:10">
      <c r="A10" s="24">
        <v>44211</v>
      </c>
      <c r="B10" s="12">
        <f t="shared" ref="B10:B15" si="3">G10/(1+C10+E10)</f>
        <v>153686.550458716</v>
      </c>
      <c r="C10" s="25">
        <v>0.02</v>
      </c>
      <c r="D10" s="26">
        <f t="shared" ref="D10:D15" si="4">G10/(1+E10+C10)*C10</f>
        <v>3073.73100917431</v>
      </c>
      <c r="E10" s="25">
        <v>0.07</v>
      </c>
      <c r="F10" s="12">
        <f t="shared" ref="F10:F15" si="5">G10/(1+C10+E10)*E10</f>
        <v>10758.0585321101</v>
      </c>
      <c r="G10" s="27">
        <v>167518.34</v>
      </c>
      <c r="H10" s="24">
        <v>44586</v>
      </c>
      <c r="I10" s="12">
        <v>300000</v>
      </c>
      <c r="J10" s="53" t="s">
        <v>21</v>
      </c>
    </row>
    <row r="11" ht="18" customHeight="1" spans="1:10">
      <c r="A11" s="24">
        <v>44670</v>
      </c>
      <c r="B11" s="12">
        <f t="shared" si="3"/>
        <v>979724.770642202</v>
      </c>
      <c r="C11" s="25">
        <v>0.02</v>
      </c>
      <c r="D11" s="26">
        <f t="shared" si="4"/>
        <v>19594.495412844</v>
      </c>
      <c r="E11" s="25">
        <v>0.07</v>
      </c>
      <c r="F11" s="12">
        <f t="shared" si="5"/>
        <v>68580.7339449541</v>
      </c>
      <c r="G11" s="27">
        <v>1067900</v>
      </c>
      <c r="H11" s="24">
        <v>44679</v>
      </c>
      <c r="I11" s="12">
        <v>854230</v>
      </c>
      <c r="J11" s="53" t="s">
        <v>21</v>
      </c>
    </row>
    <row r="12" ht="18" customHeight="1" spans="1:10">
      <c r="A12" s="24">
        <v>44704</v>
      </c>
      <c r="B12" s="12">
        <f t="shared" si="3"/>
        <v>642201.834862385</v>
      </c>
      <c r="C12" s="25">
        <v>0.02</v>
      </c>
      <c r="D12" s="26">
        <f t="shared" si="4"/>
        <v>12844.0366972477</v>
      </c>
      <c r="E12" s="25">
        <v>0.07</v>
      </c>
      <c r="F12" s="12">
        <f t="shared" si="5"/>
        <v>44954.128440367</v>
      </c>
      <c r="G12" s="27">
        <v>700000</v>
      </c>
      <c r="H12" s="24">
        <v>44711</v>
      </c>
      <c r="I12" s="12">
        <v>400000</v>
      </c>
      <c r="J12" s="53" t="s">
        <v>21</v>
      </c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53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53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53"/>
    </row>
    <row r="16" ht="18" customHeight="1" spans="1:10">
      <c r="A16" s="29" t="s">
        <v>22</v>
      </c>
      <c r="B16" s="30">
        <f>SUM(B7:B15)</f>
        <v>3019803.11009174</v>
      </c>
      <c r="C16" s="31"/>
      <c r="D16" s="31">
        <f>SUM(D7:D15)</f>
        <v>60396.0622018349</v>
      </c>
      <c r="E16" s="31"/>
      <c r="F16" s="32">
        <f>SUM(F7:F15)</f>
        <v>211386.217706422</v>
      </c>
      <c r="G16" s="31">
        <f>SUM(G7:G15)</f>
        <v>3291585.39</v>
      </c>
      <c r="H16" s="33"/>
      <c r="I16" s="31">
        <f>SUM(I7:I15)</f>
        <v>2242992.93</v>
      </c>
      <c r="J16" s="33"/>
    </row>
    <row r="17" ht="18" customHeight="1" spans="1:12">
      <c r="A17" s="2" t="s">
        <v>23</v>
      </c>
      <c r="J17" s="4"/>
      <c r="K17" s="4"/>
      <c r="L17" s="5"/>
    </row>
    <row r="18" ht="18" customHeight="1" spans="1:15">
      <c r="A18" s="34" t="s">
        <v>24</v>
      </c>
      <c r="B18" s="22" t="s">
        <v>25</v>
      </c>
      <c r="C18" s="21" t="s">
        <v>26</v>
      </c>
      <c r="D18" s="21" t="s">
        <v>27</v>
      </c>
      <c r="E18" s="21" t="s">
        <v>16</v>
      </c>
      <c r="F18" s="22" t="s">
        <v>28</v>
      </c>
      <c r="G18" s="22" t="s">
        <v>14</v>
      </c>
      <c r="H18" s="21" t="s">
        <v>29</v>
      </c>
      <c r="I18" s="22" t="s">
        <v>30</v>
      </c>
      <c r="J18" s="21" t="s">
        <v>20</v>
      </c>
      <c r="K18" s="54" t="s">
        <v>31</v>
      </c>
      <c r="L18" s="23" t="s">
        <v>32</v>
      </c>
      <c r="M18" s="23" t="s">
        <v>33</v>
      </c>
      <c r="N18" s="23" t="s">
        <v>34</v>
      </c>
      <c r="O18" s="23" t="s">
        <v>35</v>
      </c>
    </row>
    <row r="19" s="1" customFormat="1" ht="18" customHeight="1" spans="1:15">
      <c r="A19" s="35">
        <v>44166</v>
      </c>
      <c r="B19" s="36">
        <f t="shared" ref="B19:B24" si="6">ROUND(G19/(1+E19),2)</f>
        <v>275229.36</v>
      </c>
      <c r="C19" s="37" t="s">
        <v>36</v>
      </c>
      <c r="D19" s="38" t="s">
        <v>37</v>
      </c>
      <c r="E19" s="39">
        <v>0.09</v>
      </c>
      <c r="F19" s="36">
        <f t="shared" ref="F19:F24" si="7">ROUND(G19/(1+E19)*E19,2)</f>
        <v>24770.64</v>
      </c>
      <c r="G19" s="27">
        <v>300000</v>
      </c>
      <c r="H19" s="24"/>
      <c r="I19" s="12"/>
      <c r="J19" s="53"/>
      <c r="K19" s="55" t="s">
        <v>38</v>
      </c>
      <c r="L19" s="56" t="s">
        <v>39</v>
      </c>
      <c r="M19" s="57" t="s">
        <v>40</v>
      </c>
      <c r="N19" s="57"/>
      <c r="O19" s="58"/>
    </row>
    <row r="20" s="1" customFormat="1" ht="18" customHeight="1" spans="1:15">
      <c r="A20" s="35"/>
      <c r="B20" s="36">
        <f t="shared" si="6"/>
        <v>0</v>
      </c>
      <c r="C20" s="37"/>
      <c r="D20" s="38"/>
      <c r="E20" s="39"/>
      <c r="F20" s="36">
        <f t="shared" si="7"/>
        <v>0</v>
      </c>
      <c r="G20" s="27"/>
      <c r="H20" s="24">
        <v>44203</v>
      </c>
      <c r="I20" s="12">
        <v>206972.47</v>
      </c>
      <c r="J20" s="53" t="s">
        <v>41</v>
      </c>
      <c r="K20" s="59" t="s">
        <v>38</v>
      </c>
      <c r="L20" s="56" t="s">
        <v>39</v>
      </c>
      <c r="M20" s="57"/>
      <c r="N20" s="57"/>
      <c r="O20" s="56"/>
    </row>
    <row r="21" s="1" customFormat="1" ht="18" customHeight="1" spans="1:15">
      <c r="A21" s="35">
        <v>44197</v>
      </c>
      <c r="B21" s="36">
        <f t="shared" si="6"/>
        <v>102477.06</v>
      </c>
      <c r="C21" s="37" t="s">
        <v>42</v>
      </c>
      <c r="D21" s="38" t="s">
        <v>37</v>
      </c>
      <c r="E21" s="39">
        <v>0.09</v>
      </c>
      <c r="F21" s="36">
        <f t="shared" si="7"/>
        <v>9222.94</v>
      </c>
      <c r="G21" s="27">
        <v>111700</v>
      </c>
      <c r="H21" s="24"/>
      <c r="I21" s="12"/>
      <c r="J21" s="53"/>
      <c r="K21" s="55" t="s">
        <v>38</v>
      </c>
      <c r="L21" s="56" t="s">
        <v>39</v>
      </c>
      <c r="M21" s="57" t="s">
        <v>40</v>
      </c>
      <c r="N21" s="57"/>
      <c r="O21" s="56"/>
    </row>
    <row r="22" s="1" customFormat="1" ht="18" customHeight="1" spans="1:15">
      <c r="A22" s="35">
        <v>44409</v>
      </c>
      <c r="B22" s="36">
        <f t="shared" si="6"/>
        <v>467889.91</v>
      </c>
      <c r="C22" s="37" t="s">
        <v>43</v>
      </c>
      <c r="D22" s="38" t="s">
        <v>37</v>
      </c>
      <c r="E22" s="39">
        <v>0.09</v>
      </c>
      <c r="F22" s="36">
        <f t="shared" si="7"/>
        <v>42110.09</v>
      </c>
      <c r="G22" s="27">
        <v>510000</v>
      </c>
      <c r="H22" s="24"/>
      <c r="I22" s="12"/>
      <c r="J22" s="53"/>
      <c r="K22" s="55" t="s">
        <v>38</v>
      </c>
      <c r="L22" s="56" t="s">
        <v>39</v>
      </c>
      <c r="M22" s="57" t="s">
        <v>40</v>
      </c>
      <c r="N22" s="57"/>
      <c r="O22" s="56"/>
    </row>
    <row r="23" s="1" customFormat="1" ht="18" customHeight="1" spans="1:15">
      <c r="A23" s="35"/>
      <c r="B23" s="36">
        <f t="shared" si="6"/>
        <v>0</v>
      </c>
      <c r="C23" s="37"/>
      <c r="D23" s="38"/>
      <c r="E23" s="40"/>
      <c r="F23" s="36">
        <f t="shared" si="7"/>
        <v>0</v>
      </c>
      <c r="G23" s="27"/>
      <c r="H23" s="24">
        <v>44453</v>
      </c>
      <c r="I23" s="12">
        <v>445458.13</v>
      </c>
      <c r="J23" s="53" t="s">
        <v>41</v>
      </c>
      <c r="K23" s="59" t="s">
        <v>38</v>
      </c>
      <c r="L23" s="56" t="s">
        <v>39</v>
      </c>
      <c r="M23" s="57"/>
      <c r="N23" s="57"/>
      <c r="O23" s="56"/>
    </row>
    <row r="24" s="1" customFormat="1" ht="18" customHeight="1" spans="1:15">
      <c r="A24" s="35">
        <v>44562</v>
      </c>
      <c r="B24" s="36">
        <f t="shared" si="6"/>
        <v>385321.1</v>
      </c>
      <c r="C24" s="37" t="s">
        <v>43</v>
      </c>
      <c r="D24" s="38" t="s">
        <v>37</v>
      </c>
      <c r="E24" s="39">
        <v>0.09</v>
      </c>
      <c r="F24" s="36">
        <f t="shared" si="7"/>
        <v>34678.9</v>
      </c>
      <c r="G24" s="27">
        <f>105000*4</f>
        <v>420000</v>
      </c>
      <c r="H24" s="24"/>
      <c r="I24" s="12"/>
      <c r="J24" s="53"/>
      <c r="K24" s="59" t="s">
        <v>38</v>
      </c>
      <c r="L24" s="56" t="s">
        <v>39</v>
      </c>
      <c r="M24" s="57" t="s">
        <v>40</v>
      </c>
      <c r="N24" s="57"/>
      <c r="O24" s="56"/>
    </row>
    <row r="25" s="1" customFormat="1" ht="18" customHeight="1" spans="1:15">
      <c r="A25" s="35"/>
      <c r="B25" s="36"/>
      <c r="C25" s="37"/>
      <c r="D25" s="38"/>
      <c r="E25" s="39"/>
      <c r="F25" s="36"/>
      <c r="G25" s="27"/>
      <c r="H25" s="24">
        <v>44589</v>
      </c>
      <c r="I25" s="12">
        <v>283559.8</v>
      </c>
      <c r="J25" s="53" t="s">
        <v>41</v>
      </c>
      <c r="K25" s="59" t="s">
        <v>38</v>
      </c>
      <c r="L25" s="56" t="s">
        <v>39</v>
      </c>
      <c r="M25" s="57"/>
      <c r="N25" s="57"/>
      <c r="O25" s="56"/>
    </row>
    <row r="26" s="1" customFormat="1" ht="18" customHeight="1" spans="1:15">
      <c r="A26" s="35">
        <v>44652</v>
      </c>
      <c r="B26" s="36">
        <f t="shared" ref="B26:B32" si="8">ROUND(G26/(1+E26),2)</f>
        <v>596330.28</v>
      </c>
      <c r="C26" s="37">
        <v>6</v>
      </c>
      <c r="D26" s="38" t="s">
        <v>37</v>
      </c>
      <c r="E26" s="39">
        <v>0.09</v>
      </c>
      <c r="F26" s="36">
        <f>ROUND(G26/(1+E26)*E26,2)</f>
        <v>53669.72</v>
      </c>
      <c r="G26" s="27">
        <f>108800+108800+108800+108800+108800+106000</f>
        <v>650000</v>
      </c>
      <c r="H26" s="24"/>
      <c r="I26" s="12"/>
      <c r="J26" s="53"/>
      <c r="K26" s="59" t="s">
        <v>38</v>
      </c>
      <c r="L26" s="56" t="s">
        <v>39</v>
      </c>
      <c r="M26" s="57" t="s">
        <v>40</v>
      </c>
      <c r="N26" s="57"/>
      <c r="O26" s="56"/>
    </row>
    <row r="27" s="1" customFormat="1" ht="18" customHeight="1" spans="1:15">
      <c r="A27" s="35">
        <v>44682</v>
      </c>
      <c r="B27" s="36">
        <f t="shared" si="8"/>
        <v>480733.94</v>
      </c>
      <c r="C27" s="37">
        <v>6</v>
      </c>
      <c r="D27" s="38" t="s">
        <v>37</v>
      </c>
      <c r="E27" s="39">
        <v>0.09</v>
      </c>
      <c r="F27" s="36">
        <f>ROUND(G27/(1+E27)*E27,2)</f>
        <v>43266.06</v>
      </c>
      <c r="G27" s="27">
        <f>100000*5+24000</f>
        <v>524000</v>
      </c>
      <c r="H27" s="24"/>
      <c r="I27" s="12"/>
      <c r="J27" s="53"/>
      <c r="K27" s="59" t="s">
        <v>38</v>
      </c>
      <c r="L27" s="56" t="s">
        <v>39</v>
      </c>
      <c r="M27" s="60" t="s">
        <v>44</v>
      </c>
      <c r="N27" s="57"/>
      <c r="O27" s="56"/>
    </row>
    <row r="28" s="1" customFormat="1" ht="18" customHeight="1" spans="1:15">
      <c r="A28" s="35">
        <v>44713</v>
      </c>
      <c r="B28" s="36">
        <f t="shared" si="8"/>
        <v>399996</v>
      </c>
      <c r="C28" s="37">
        <v>4</v>
      </c>
      <c r="D28" s="38" t="s">
        <v>45</v>
      </c>
      <c r="E28" s="39"/>
      <c r="F28" s="36"/>
      <c r="G28" s="27">
        <f>99999*4</f>
        <v>399996</v>
      </c>
      <c r="H28" s="24"/>
      <c r="I28" s="12"/>
      <c r="J28" s="53"/>
      <c r="K28" s="59" t="s">
        <v>46</v>
      </c>
      <c r="L28" s="56" t="s">
        <v>47</v>
      </c>
      <c r="M28" s="60" t="s">
        <v>48</v>
      </c>
      <c r="N28" s="57"/>
      <c r="O28" s="56"/>
    </row>
    <row r="29" s="1" customFormat="1" ht="18" customHeight="1" spans="1:15">
      <c r="A29" s="35">
        <v>44713</v>
      </c>
      <c r="B29" s="36">
        <f t="shared" si="8"/>
        <v>126000</v>
      </c>
      <c r="C29" s="37">
        <v>2</v>
      </c>
      <c r="D29" s="38" t="s">
        <v>45</v>
      </c>
      <c r="E29" s="39"/>
      <c r="F29" s="36">
        <f>ROUND(G29/(1+E29)*E29,2)</f>
        <v>0</v>
      </c>
      <c r="G29" s="27">
        <f>99990+26010</f>
        <v>126000</v>
      </c>
      <c r="H29" s="24"/>
      <c r="I29" s="12"/>
      <c r="J29" s="53"/>
      <c r="K29" s="59" t="s">
        <v>49</v>
      </c>
      <c r="L29" s="56" t="s">
        <v>50</v>
      </c>
      <c r="M29" s="60" t="s">
        <v>51</v>
      </c>
      <c r="N29" s="57"/>
      <c r="O29" s="56"/>
    </row>
    <row r="30" s="1" customFormat="1" ht="18" customHeight="1" spans="1:15">
      <c r="A30" s="35">
        <v>44713</v>
      </c>
      <c r="B30" s="36">
        <f t="shared" si="8"/>
        <v>9860</v>
      </c>
      <c r="C30" s="37">
        <v>1</v>
      </c>
      <c r="D30" s="41" t="s">
        <v>52</v>
      </c>
      <c r="E30" s="39"/>
      <c r="F30" s="36">
        <f>ROUND(G30/(1+E30)*E30,2)</f>
        <v>0</v>
      </c>
      <c r="G30" s="27">
        <v>9860</v>
      </c>
      <c r="H30" s="24"/>
      <c r="I30" s="12"/>
      <c r="J30" s="53"/>
      <c r="K30" s="59" t="s">
        <v>53</v>
      </c>
      <c r="L30" s="56" t="s">
        <v>54</v>
      </c>
      <c r="M30" s="60"/>
      <c r="N30" s="57"/>
      <c r="O30" s="56"/>
    </row>
    <row r="31" s="1" customFormat="1" ht="18" customHeight="1" spans="1:15">
      <c r="A31" s="35">
        <v>44713</v>
      </c>
      <c r="B31" s="36">
        <f t="shared" si="8"/>
        <v>9900</v>
      </c>
      <c r="C31" s="37">
        <v>1</v>
      </c>
      <c r="D31" s="41" t="s">
        <v>52</v>
      </c>
      <c r="E31" s="39"/>
      <c r="F31" s="36"/>
      <c r="G31" s="27">
        <v>9900</v>
      </c>
      <c r="H31" s="24"/>
      <c r="I31" s="12"/>
      <c r="J31" s="53"/>
      <c r="K31" s="59" t="s">
        <v>55</v>
      </c>
      <c r="L31" s="56" t="s">
        <v>56</v>
      </c>
      <c r="M31" s="60"/>
      <c r="N31" s="57"/>
      <c r="O31" s="56"/>
    </row>
    <row r="32" s="1" customFormat="1" ht="18" customHeight="1" spans="1:15">
      <c r="A32" s="35">
        <v>44713</v>
      </c>
      <c r="B32" s="36">
        <f t="shared" si="8"/>
        <v>9800</v>
      </c>
      <c r="C32" s="37">
        <v>1</v>
      </c>
      <c r="D32" s="41" t="s">
        <v>52</v>
      </c>
      <c r="E32" s="39"/>
      <c r="F32" s="36">
        <f>ROUND(G32/(1+E32)*E32,2)</f>
        <v>0</v>
      </c>
      <c r="G32" s="27">
        <v>9800</v>
      </c>
      <c r="H32" s="24"/>
      <c r="I32" s="12"/>
      <c r="J32" s="53"/>
      <c r="K32" s="59" t="s">
        <v>57</v>
      </c>
      <c r="L32" s="56" t="s">
        <v>58</v>
      </c>
      <c r="M32" s="60"/>
      <c r="N32" s="57"/>
      <c r="O32" s="56"/>
    </row>
    <row r="33" s="1" customFormat="1" ht="18" customHeight="1" spans="1:15">
      <c r="A33" s="35">
        <v>44713</v>
      </c>
      <c r="B33" s="36">
        <f t="shared" ref="B30:B42" si="9">ROUND(G33/(1+E33),2)</f>
        <v>9600</v>
      </c>
      <c r="C33" s="37">
        <v>1</v>
      </c>
      <c r="D33" s="41" t="s">
        <v>52</v>
      </c>
      <c r="E33" s="39"/>
      <c r="F33" s="36">
        <f>ROUND(G33/(1+E33)*E33,2)</f>
        <v>0</v>
      </c>
      <c r="G33" s="27">
        <v>9600</v>
      </c>
      <c r="H33" s="24"/>
      <c r="I33" s="12"/>
      <c r="J33" s="53"/>
      <c r="K33" s="59" t="s">
        <v>59</v>
      </c>
      <c r="L33" s="56" t="s">
        <v>60</v>
      </c>
      <c r="M33" s="60"/>
      <c r="N33" s="57"/>
      <c r="O33" s="56"/>
    </row>
    <row r="34" s="1" customFormat="1" ht="18" customHeight="1" spans="1:15">
      <c r="A34" s="35">
        <v>44713</v>
      </c>
      <c r="B34" s="36">
        <f t="shared" si="9"/>
        <v>9900</v>
      </c>
      <c r="C34" s="37">
        <v>1</v>
      </c>
      <c r="D34" s="41" t="s">
        <v>52</v>
      </c>
      <c r="E34" s="39"/>
      <c r="F34" s="36"/>
      <c r="G34" s="27">
        <v>9900</v>
      </c>
      <c r="H34" s="24"/>
      <c r="I34" s="12"/>
      <c r="J34" s="53"/>
      <c r="K34" s="59" t="s">
        <v>61</v>
      </c>
      <c r="L34" s="56" t="s">
        <v>62</v>
      </c>
      <c r="M34" s="60"/>
      <c r="N34" s="57"/>
      <c r="O34" s="56"/>
    </row>
    <row r="35" s="1" customFormat="1" ht="18" customHeight="1" spans="1:15">
      <c r="A35" s="35"/>
      <c r="B35" s="36">
        <f t="shared" si="9"/>
        <v>0</v>
      </c>
      <c r="C35" s="37"/>
      <c r="D35" s="38"/>
      <c r="E35" s="39"/>
      <c r="F35" s="36">
        <f>ROUND(G35/(1+E35)*E35,2)</f>
        <v>0</v>
      </c>
      <c r="G35" s="27"/>
      <c r="H35" s="24"/>
      <c r="I35" s="61">
        <v>399750</v>
      </c>
      <c r="J35" s="62" t="s">
        <v>63</v>
      </c>
      <c r="K35" s="63" t="s">
        <v>46</v>
      </c>
      <c r="L35" s="56" t="s">
        <v>47</v>
      </c>
      <c r="M35" s="60" t="s">
        <v>48</v>
      </c>
      <c r="N35" s="57"/>
      <c r="O35" s="56"/>
    </row>
    <row r="36" s="1" customFormat="1" ht="18" customHeight="1" spans="1:15">
      <c r="A36" s="35"/>
      <c r="B36" s="36">
        <f t="shared" si="9"/>
        <v>0</v>
      </c>
      <c r="C36" s="37"/>
      <c r="D36" s="38"/>
      <c r="E36" s="39"/>
      <c r="F36" s="36">
        <f>ROUND(G36/(1+E36)*E36,2)</f>
        <v>0</v>
      </c>
      <c r="G36" s="27"/>
      <c r="H36" s="24"/>
      <c r="I36" s="61">
        <v>126000</v>
      </c>
      <c r="J36" s="62" t="s">
        <v>63</v>
      </c>
      <c r="K36" s="63" t="s">
        <v>49</v>
      </c>
      <c r="L36" s="56" t="s">
        <v>50</v>
      </c>
      <c r="M36" s="60" t="s">
        <v>51</v>
      </c>
      <c r="N36" s="57"/>
      <c r="O36" s="56"/>
    </row>
    <row r="37" s="1" customFormat="1" ht="18" customHeight="1" spans="1:15">
      <c r="A37" s="35"/>
      <c r="B37" s="36">
        <f t="shared" si="9"/>
        <v>0</v>
      </c>
      <c r="C37" s="37"/>
      <c r="D37" s="38"/>
      <c r="E37" s="39"/>
      <c r="F37" s="36">
        <f>ROUND(G37/(1+E37)*E37,2)</f>
        <v>0</v>
      </c>
      <c r="G37" s="27"/>
      <c r="H37" s="24"/>
      <c r="I37" s="61">
        <v>632229.52</v>
      </c>
      <c r="J37" s="62" t="s">
        <v>41</v>
      </c>
      <c r="K37" s="63" t="s">
        <v>38</v>
      </c>
      <c r="L37" s="56" t="s">
        <v>39</v>
      </c>
      <c r="M37" s="57" t="s">
        <v>40</v>
      </c>
      <c r="N37" s="57"/>
      <c r="O37" s="56"/>
    </row>
    <row r="38" s="1" customFormat="1" ht="18" customHeight="1" spans="1:15">
      <c r="A38" s="35"/>
      <c r="B38" s="36">
        <f t="shared" si="9"/>
        <v>0</v>
      </c>
      <c r="C38" s="37"/>
      <c r="D38" s="38"/>
      <c r="E38" s="39"/>
      <c r="F38" s="36"/>
      <c r="G38" s="27"/>
      <c r="H38" s="24"/>
      <c r="I38" s="12"/>
      <c r="J38" s="53"/>
      <c r="K38" s="59"/>
      <c r="L38" s="56"/>
      <c r="M38" s="60"/>
      <c r="N38" s="57"/>
      <c r="O38" s="56"/>
    </row>
    <row r="39" s="1" customFormat="1" ht="18" customHeight="1" spans="1:15">
      <c r="A39" s="35"/>
      <c r="B39" s="36">
        <f t="shared" si="9"/>
        <v>0</v>
      </c>
      <c r="C39" s="37"/>
      <c r="D39" s="38"/>
      <c r="E39" s="40"/>
      <c r="F39" s="36">
        <f>ROUND(G39/(1+E39)*E39,2)</f>
        <v>0</v>
      </c>
      <c r="G39" s="27"/>
      <c r="H39" s="24"/>
      <c r="I39" s="12"/>
      <c r="J39" s="53"/>
      <c r="K39" s="59"/>
      <c r="L39" s="56"/>
      <c r="M39" s="57"/>
      <c r="N39" s="57"/>
      <c r="O39" s="56"/>
    </row>
    <row r="40" s="1" customFormat="1" ht="18" customHeight="1" spans="1:15">
      <c r="A40" s="35"/>
      <c r="B40" s="36">
        <f t="shared" si="9"/>
        <v>0</v>
      </c>
      <c r="C40" s="37"/>
      <c r="D40" s="38"/>
      <c r="E40" s="40"/>
      <c r="F40" s="36">
        <f>ROUND(G40/(1+E40)*E40,2)</f>
        <v>0</v>
      </c>
      <c r="G40" s="27"/>
      <c r="H40" s="24"/>
      <c r="I40" s="61">
        <v>300</v>
      </c>
      <c r="J40" s="62" t="s">
        <v>64</v>
      </c>
      <c r="K40" s="63" t="s">
        <v>65</v>
      </c>
      <c r="L40" s="56"/>
      <c r="M40" s="57"/>
      <c r="N40" s="57"/>
      <c r="O40" s="56"/>
    </row>
    <row r="41" s="1" customFormat="1" ht="18" customHeight="1" spans="1:15">
      <c r="A41" s="35"/>
      <c r="B41" s="36">
        <f t="shared" si="9"/>
        <v>36851.75</v>
      </c>
      <c r="C41" s="37"/>
      <c r="D41" s="38"/>
      <c r="E41" s="40"/>
      <c r="F41" s="36">
        <f>ROUND(G41/(1+E41)*E41,2)</f>
        <v>0</v>
      </c>
      <c r="G41" s="27">
        <v>36851.75</v>
      </c>
      <c r="H41" s="24"/>
      <c r="I41" s="61">
        <v>36851.75</v>
      </c>
      <c r="J41" s="62" t="s">
        <v>64</v>
      </c>
      <c r="K41" s="63" t="s">
        <v>66</v>
      </c>
      <c r="L41" s="56"/>
      <c r="M41" s="57"/>
      <c r="N41" s="57"/>
      <c r="O41" s="56"/>
    </row>
    <row r="42" s="1" customFormat="1" ht="18" customHeight="1" spans="1:15">
      <c r="A42" s="35"/>
      <c r="B42" s="36">
        <f t="shared" si="9"/>
        <v>0</v>
      </c>
      <c r="C42" s="37"/>
      <c r="D42" s="38"/>
      <c r="E42" s="40"/>
      <c r="F42" s="36">
        <f>ROUND(G42/(1+E42)*E42,2)</f>
        <v>0</v>
      </c>
      <c r="G42" s="27"/>
      <c r="H42" s="24"/>
      <c r="I42" s="61">
        <v>3585.05</v>
      </c>
      <c r="J42" s="62" t="s">
        <v>67</v>
      </c>
      <c r="K42" s="63" t="s">
        <v>68</v>
      </c>
      <c r="L42" s="56"/>
      <c r="M42" s="57"/>
      <c r="N42" s="57"/>
      <c r="O42" s="56"/>
    </row>
    <row r="43" s="1" customFormat="1" ht="18" customHeight="1" spans="1:15">
      <c r="A43" s="35"/>
      <c r="B43" s="36"/>
      <c r="C43" s="37"/>
      <c r="D43" s="38"/>
      <c r="E43" s="40"/>
      <c r="F43" s="36"/>
      <c r="G43" s="27"/>
      <c r="H43" s="24"/>
      <c r="I43" s="61">
        <v>7000</v>
      </c>
      <c r="J43" s="62" t="s">
        <v>64</v>
      </c>
      <c r="K43" s="63" t="s">
        <v>69</v>
      </c>
      <c r="L43" s="56"/>
      <c r="M43" s="57"/>
      <c r="N43" s="57"/>
      <c r="O43" s="56"/>
    </row>
    <row r="44" s="1" customFormat="1" ht="18" customHeight="1" spans="1:15">
      <c r="A44" s="35"/>
      <c r="B44" s="36"/>
      <c r="C44" s="37"/>
      <c r="D44" s="38"/>
      <c r="E44" s="40"/>
      <c r="F44" s="36"/>
      <c r="G44" s="27"/>
      <c r="H44" s="24"/>
      <c r="I44" s="61">
        <v>14980.64</v>
      </c>
      <c r="J44" s="62" t="s">
        <v>64</v>
      </c>
      <c r="K44" s="63" t="s">
        <v>70</v>
      </c>
      <c r="L44" s="56"/>
      <c r="M44" s="57"/>
      <c r="N44" s="57"/>
      <c r="O44" s="56"/>
    </row>
    <row r="45" s="1" customFormat="1" ht="18" customHeight="1" spans="1:15">
      <c r="A45" s="35"/>
      <c r="B45" s="36"/>
      <c r="C45" s="37"/>
      <c r="D45" s="38"/>
      <c r="E45" s="40"/>
      <c r="F45" s="36"/>
      <c r="G45" s="27"/>
      <c r="H45" s="24"/>
      <c r="I45" s="61">
        <v>10679</v>
      </c>
      <c r="J45" s="62" t="s">
        <v>64</v>
      </c>
      <c r="K45" s="63" t="s">
        <v>69</v>
      </c>
      <c r="L45" s="56"/>
      <c r="M45" s="57"/>
      <c r="N45" s="57"/>
      <c r="O45" s="56"/>
    </row>
    <row r="46" s="1" customFormat="1" ht="18" customHeight="1" spans="1:15">
      <c r="A46" s="35"/>
      <c r="B46" s="36"/>
      <c r="C46" s="37"/>
      <c r="D46" s="38"/>
      <c r="E46" s="40"/>
      <c r="F46" s="36"/>
      <c r="G46" s="27"/>
      <c r="H46" s="24"/>
      <c r="I46" s="61">
        <v>22854.04</v>
      </c>
      <c r="J46" s="62" t="s">
        <v>64</v>
      </c>
      <c r="K46" s="63" t="s">
        <v>71</v>
      </c>
      <c r="L46" s="56"/>
      <c r="M46" s="57"/>
      <c r="N46" s="57"/>
      <c r="O46" s="56"/>
    </row>
    <row r="47" s="1" customFormat="1" ht="18" customHeight="1" spans="1:15">
      <c r="A47" s="35"/>
      <c r="B47" s="36"/>
      <c r="C47" s="37"/>
      <c r="D47" s="38"/>
      <c r="E47" s="40"/>
      <c r="F47" s="36"/>
      <c r="G47" s="27"/>
      <c r="H47" s="24">
        <v>44589</v>
      </c>
      <c r="I47" s="12">
        <v>100</v>
      </c>
      <c r="J47" s="53" t="s">
        <v>64</v>
      </c>
      <c r="K47" s="59" t="s">
        <v>65</v>
      </c>
      <c r="L47" s="56"/>
      <c r="M47" s="57"/>
      <c r="N47" s="57"/>
      <c r="O47" s="56"/>
    </row>
    <row r="48" s="1" customFormat="1" ht="18" customHeight="1" spans="1:15">
      <c r="A48" s="35"/>
      <c r="B48" s="36">
        <f t="shared" ref="B48:B56" si="10">ROUND(G48/(1+E48),2)</f>
        <v>3000</v>
      </c>
      <c r="C48" s="37"/>
      <c r="D48" s="38"/>
      <c r="E48" s="40"/>
      <c r="F48" s="36">
        <f t="shared" ref="F48:F56" si="11">ROUND(G48/(1+E48)*E48,2)</f>
        <v>0</v>
      </c>
      <c r="G48" s="27">
        <v>3000</v>
      </c>
      <c r="H48" s="24">
        <v>44589</v>
      </c>
      <c r="I48" s="12">
        <v>3000</v>
      </c>
      <c r="J48" s="53" t="s">
        <v>64</v>
      </c>
      <c r="K48" s="59" t="s">
        <v>72</v>
      </c>
      <c r="L48" s="56"/>
      <c r="M48" s="57"/>
      <c r="N48" s="57"/>
      <c r="O48" s="56"/>
    </row>
    <row r="49" s="1" customFormat="1" ht="18" customHeight="1" spans="1:15">
      <c r="A49" s="35"/>
      <c r="B49" s="36">
        <f t="shared" si="10"/>
        <v>0</v>
      </c>
      <c r="C49" s="37"/>
      <c r="D49" s="38"/>
      <c r="E49" s="40"/>
      <c r="F49" s="36">
        <f t="shared" si="11"/>
        <v>0</v>
      </c>
      <c r="G49" s="27"/>
      <c r="H49" s="24">
        <v>44589</v>
      </c>
      <c r="I49" s="12">
        <v>4248.35</v>
      </c>
      <c r="J49" s="53" t="s">
        <v>64</v>
      </c>
      <c r="K49" s="59" t="s">
        <v>69</v>
      </c>
      <c r="L49" s="56"/>
      <c r="M49" s="57"/>
      <c r="N49" s="57"/>
      <c r="O49" s="56"/>
    </row>
    <row r="50" s="1" customFormat="1" ht="18" customHeight="1" spans="1:15">
      <c r="A50" s="35"/>
      <c r="B50" s="36">
        <f t="shared" si="10"/>
        <v>0</v>
      </c>
      <c r="C50" s="37"/>
      <c r="D50" s="38"/>
      <c r="E50" s="40"/>
      <c r="F50" s="36">
        <f t="shared" si="11"/>
        <v>0</v>
      </c>
      <c r="G50" s="27"/>
      <c r="H50" s="24">
        <v>44589</v>
      </c>
      <c r="I50" s="12">
        <v>9091.85</v>
      </c>
      <c r="J50" s="53" t="s">
        <v>64</v>
      </c>
      <c r="K50" s="59" t="s">
        <v>73</v>
      </c>
      <c r="L50" s="56"/>
      <c r="M50" s="57"/>
      <c r="N50" s="57"/>
      <c r="O50" s="56"/>
    </row>
    <row r="51" s="1" customFormat="1" ht="18" customHeight="1" spans="1:15">
      <c r="A51" s="35"/>
      <c r="B51" s="36">
        <f t="shared" si="10"/>
        <v>0</v>
      </c>
      <c r="C51" s="37"/>
      <c r="D51" s="38"/>
      <c r="E51" s="40"/>
      <c r="F51" s="36">
        <f t="shared" si="11"/>
        <v>0</v>
      </c>
      <c r="G51" s="27"/>
      <c r="H51" s="24">
        <v>44446</v>
      </c>
      <c r="I51" s="12">
        <v>100</v>
      </c>
      <c r="J51" s="53" t="s">
        <v>64</v>
      </c>
      <c r="K51" s="55" t="s">
        <v>65</v>
      </c>
      <c r="L51" s="56"/>
      <c r="M51" s="57"/>
      <c r="N51" s="57"/>
      <c r="O51" s="56"/>
    </row>
    <row r="52" s="1" customFormat="1" ht="18" customHeight="1" spans="1:15">
      <c r="A52" s="35"/>
      <c r="B52" s="36">
        <f t="shared" si="10"/>
        <v>173.1</v>
      </c>
      <c r="C52" s="37"/>
      <c r="D52" s="38"/>
      <c r="E52" s="40"/>
      <c r="F52" s="36">
        <f t="shared" si="11"/>
        <v>0</v>
      </c>
      <c r="G52" s="27">
        <v>173.1</v>
      </c>
      <c r="H52" s="24">
        <v>44446</v>
      </c>
      <c r="I52" s="12">
        <v>173.1</v>
      </c>
      <c r="J52" s="53" t="s">
        <v>64</v>
      </c>
      <c r="K52" s="55" t="s">
        <v>72</v>
      </c>
      <c r="L52" s="56"/>
      <c r="M52" s="57"/>
      <c r="N52" s="57"/>
      <c r="O52" s="56"/>
    </row>
    <row r="53" s="1" customFormat="1" ht="18" customHeight="1" spans="1:15">
      <c r="A53" s="35"/>
      <c r="B53" s="36">
        <f t="shared" si="10"/>
        <v>4506.15</v>
      </c>
      <c r="C53" s="37"/>
      <c r="D53" s="38"/>
      <c r="E53" s="40"/>
      <c r="F53" s="36">
        <f t="shared" si="11"/>
        <v>0</v>
      </c>
      <c r="G53" s="27">
        <v>4506.15</v>
      </c>
      <c r="H53" s="24">
        <v>44446</v>
      </c>
      <c r="I53" s="12">
        <v>4506.15</v>
      </c>
      <c r="J53" s="53" t="s">
        <v>64</v>
      </c>
      <c r="K53" s="55" t="s">
        <v>72</v>
      </c>
      <c r="L53" s="56"/>
      <c r="M53" s="57"/>
      <c r="N53" s="57"/>
      <c r="O53" s="56"/>
    </row>
    <row r="54" s="1" customFormat="1" ht="18" customHeight="1" spans="1:15">
      <c r="A54" s="35"/>
      <c r="B54" s="36">
        <f t="shared" si="10"/>
        <v>0</v>
      </c>
      <c r="C54" s="37"/>
      <c r="D54" s="38"/>
      <c r="E54" s="40"/>
      <c r="F54" s="36">
        <f t="shared" si="11"/>
        <v>0</v>
      </c>
      <c r="G54" s="27"/>
      <c r="H54" s="24">
        <v>44446</v>
      </c>
      <c r="I54" s="12">
        <v>5632.68</v>
      </c>
      <c r="J54" s="53" t="s">
        <v>64</v>
      </c>
      <c r="K54" s="55" t="s">
        <v>69</v>
      </c>
      <c r="L54" s="56"/>
      <c r="M54" s="57"/>
      <c r="N54" s="57"/>
      <c r="O54" s="56"/>
    </row>
    <row r="55" s="1" customFormat="1" ht="18" customHeight="1" spans="1:15">
      <c r="A55" s="35"/>
      <c r="B55" s="36">
        <f t="shared" si="10"/>
        <v>0</v>
      </c>
      <c r="C55" s="37"/>
      <c r="D55" s="38"/>
      <c r="E55" s="40"/>
      <c r="F55" s="36">
        <f t="shared" si="11"/>
        <v>0</v>
      </c>
      <c r="G55" s="27"/>
      <c r="H55" s="24">
        <v>44446</v>
      </c>
      <c r="I55" s="12">
        <v>479.04</v>
      </c>
      <c r="J55" s="53" t="s">
        <v>64</v>
      </c>
      <c r="K55" s="55" t="s">
        <v>74</v>
      </c>
      <c r="L55" s="56"/>
      <c r="M55" s="57"/>
      <c r="N55" s="57"/>
      <c r="O55" s="56"/>
    </row>
    <row r="56" s="1" customFormat="1" ht="18" customHeight="1" spans="1:15">
      <c r="A56" s="35"/>
      <c r="B56" s="36">
        <f t="shared" si="10"/>
        <v>0</v>
      </c>
      <c r="C56" s="37"/>
      <c r="D56" s="38"/>
      <c r="E56" s="40"/>
      <c r="F56" s="36">
        <f t="shared" si="11"/>
        <v>0</v>
      </c>
      <c r="G56" s="27"/>
      <c r="H56" s="24">
        <v>44446</v>
      </c>
      <c r="I56" s="12">
        <v>11575.42</v>
      </c>
      <c r="J56" s="53" t="s">
        <v>64</v>
      </c>
      <c r="K56" s="55" t="s">
        <v>75</v>
      </c>
      <c r="L56" s="56"/>
      <c r="M56" s="57"/>
      <c r="N56" s="57"/>
      <c r="O56" s="56"/>
    </row>
    <row r="57" s="1" customFormat="1" ht="18" customHeight="1" spans="1:15">
      <c r="A57" s="35"/>
      <c r="B57" s="36"/>
      <c r="C57" s="37"/>
      <c r="D57" s="38"/>
      <c r="E57" s="40"/>
      <c r="F57" s="36"/>
      <c r="G57" s="27"/>
      <c r="H57" s="24" t="s">
        <v>76</v>
      </c>
      <c r="I57" s="12">
        <v>100</v>
      </c>
      <c r="J57" s="53" t="s">
        <v>64</v>
      </c>
      <c r="K57" s="55" t="s">
        <v>65</v>
      </c>
      <c r="L57" s="56"/>
      <c r="M57" s="57"/>
      <c r="N57" s="57"/>
      <c r="O57" s="56"/>
    </row>
    <row r="58" s="1" customFormat="1" ht="18" customHeight="1" spans="1:15">
      <c r="A58" s="35"/>
      <c r="B58" s="36">
        <f>ROUND(G58/(1+E58),2)</f>
        <v>0</v>
      </c>
      <c r="C58" s="37"/>
      <c r="D58" s="38"/>
      <c r="E58" s="40"/>
      <c r="F58" s="36">
        <f>ROUND(G58/(1+E58)*E58,2)</f>
        <v>0</v>
      </c>
      <c r="G58" s="27"/>
      <c r="H58" s="24" t="s">
        <v>76</v>
      </c>
      <c r="I58" s="12">
        <v>3680.64</v>
      </c>
      <c r="J58" s="53" t="s">
        <v>64</v>
      </c>
      <c r="K58" s="55" t="s">
        <v>69</v>
      </c>
      <c r="L58" s="56"/>
      <c r="M58" s="57"/>
      <c r="N58" s="57"/>
      <c r="O58" s="56"/>
    </row>
    <row r="59" s="1" customFormat="1" ht="18" customHeight="1" spans="1:15">
      <c r="A59" s="35"/>
      <c r="B59" s="36">
        <f>ROUND(G59/(1+E59),2)</f>
        <v>0</v>
      </c>
      <c r="C59" s="37"/>
      <c r="D59" s="38"/>
      <c r="E59" s="40"/>
      <c r="F59" s="36">
        <f>ROUND(G59/(1+E59)*E59,2)</f>
        <v>0</v>
      </c>
      <c r="G59" s="27"/>
      <c r="H59" s="24" t="s">
        <v>76</v>
      </c>
      <c r="I59" s="12">
        <v>7876.91</v>
      </c>
      <c r="J59" s="53" t="s">
        <v>64</v>
      </c>
      <c r="K59" s="55" t="s">
        <v>73</v>
      </c>
      <c r="L59" s="56"/>
      <c r="M59" s="57"/>
      <c r="N59" s="57"/>
      <c r="O59" s="56"/>
    </row>
    <row r="60" s="1" customFormat="1" ht="18" customHeight="1" spans="1:15">
      <c r="A60" s="35"/>
      <c r="B60" s="36">
        <f>ROUND(G60/(1+E60),2)</f>
        <v>2208.38</v>
      </c>
      <c r="C60" s="37"/>
      <c r="D60" s="38"/>
      <c r="E60" s="40"/>
      <c r="F60" s="36">
        <f>ROUND(G60/(1+E60)*E60,2)</f>
        <v>0</v>
      </c>
      <c r="G60" s="27">
        <v>2208.38</v>
      </c>
      <c r="H60" s="24" t="s">
        <v>76</v>
      </c>
      <c r="I60" s="12">
        <v>2208.38</v>
      </c>
      <c r="J60" s="53" t="s">
        <v>64</v>
      </c>
      <c r="K60" s="55" t="s">
        <v>72</v>
      </c>
      <c r="L60" s="56"/>
      <c r="M60" s="57"/>
      <c r="N60" s="57"/>
      <c r="O60" s="56"/>
    </row>
    <row r="61" ht="18" customHeight="1" spans="1:15">
      <c r="A61" s="31" t="s">
        <v>22</v>
      </c>
      <c r="B61" s="30">
        <f>SUM(B19:B60)</f>
        <v>2929777.03</v>
      </c>
      <c r="C61" s="31"/>
      <c r="D61" s="42"/>
      <c r="E61" s="42"/>
      <c r="F61" s="32">
        <f>SUM(F19:F60)</f>
        <v>207718.35</v>
      </c>
      <c r="G61" s="43">
        <f>SUM(G19:G60)</f>
        <v>3137495.38</v>
      </c>
      <c r="H61" s="44"/>
      <c r="I61" s="31">
        <f>SUM(I19:I60)</f>
        <v>2242992.92</v>
      </c>
      <c r="J61" s="64"/>
      <c r="K61" s="42"/>
      <c r="L61" s="33"/>
      <c r="M61" s="53"/>
      <c r="N61" s="53"/>
      <c r="O61" s="33"/>
    </row>
    <row r="62" ht="18" customHeight="1" spans="1:14">
      <c r="A62" s="45" t="s">
        <v>77</v>
      </c>
      <c r="B62" s="46">
        <f>B16*0.96</f>
        <v>2899010.98568807</v>
      </c>
      <c r="C62" s="45"/>
      <c r="D62" s="47"/>
      <c r="E62" s="47"/>
      <c r="F62" s="46"/>
      <c r="G62" s="46">
        <f>G16-G61</f>
        <v>154090.01</v>
      </c>
      <c r="H62" s="23" t="s">
        <v>78</v>
      </c>
      <c r="I62" s="31">
        <f>I16-I61</f>
        <v>0.00999999931082129</v>
      </c>
      <c r="J62" s="6"/>
      <c r="K62" s="65"/>
      <c r="M62" s="48"/>
      <c r="N62" s="48"/>
    </row>
    <row r="63" ht="18" customHeight="1" spans="1:14">
      <c r="A63" s="45" t="s">
        <v>79</v>
      </c>
      <c r="B63" s="46">
        <f>B62-B61</f>
        <v>-30766.04431193</v>
      </c>
      <c r="C63" s="45"/>
      <c r="D63" s="47"/>
      <c r="E63" s="47"/>
      <c r="F63" s="46"/>
      <c r="G63" s="46"/>
      <c r="H63" s="48"/>
      <c r="I63" s="46"/>
      <c r="J63" s="6"/>
      <c r="K63" s="65"/>
      <c r="M63" s="48"/>
      <c r="N63" s="48"/>
    </row>
    <row r="64" ht="18" customHeight="1" spans="1:3">
      <c r="A64" s="2" t="s">
        <v>80</v>
      </c>
      <c r="C64" s="2"/>
    </row>
    <row r="65" ht="18" customHeight="1" spans="1:15">
      <c r="A65" s="23" t="s">
        <v>81</v>
      </c>
      <c r="B65" s="22" t="s">
        <v>82</v>
      </c>
      <c r="C65" s="33"/>
      <c r="D65" s="23" t="s">
        <v>81</v>
      </c>
      <c r="E65" s="21" t="s">
        <v>16</v>
      </c>
      <c r="F65" s="22" t="s">
        <v>82</v>
      </c>
      <c r="G65" s="66" t="s">
        <v>83</v>
      </c>
      <c r="H65" s="67" t="s">
        <v>75</v>
      </c>
      <c r="I65" s="66" t="s">
        <v>84</v>
      </c>
      <c r="K65" s="12" t="s">
        <v>85</v>
      </c>
      <c r="L65" s="73" t="s">
        <v>86</v>
      </c>
      <c r="M65" s="12" t="s">
        <v>87</v>
      </c>
      <c r="O65" s="12" t="s">
        <v>88</v>
      </c>
    </row>
    <row r="66" ht="18" customHeight="1" spans="1:15">
      <c r="A66" s="33" t="s">
        <v>89</v>
      </c>
      <c r="B66" s="18">
        <f>(B62-B61)*0.25</f>
        <v>-7691.51107798249</v>
      </c>
      <c r="C66" s="33"/>
      <c r="D66" s="29" t="s">
        <v>90</v>
      </c>
      <c r="E66" s="23" t="s">
        <v>91</v>
      </c>
      <c r="F66" s="32">
        <f>F16-F61</f>
        <v>3667.867706422</v>
      </c>
      <c r="G66" s="68">
        <f>D7</f>
        <v>6753.46788990826</v>
      </c>
      <c r="H66" s="32">
        <f>D8</f>
        <v>10335.1981651376</v>
      </c>
      <c r="I66" s="68">
        <f>(F7+F8)-F19-F21-F22</f>
        <v>-16293.3388073394</v>
      </c>
      <c r="K66" s="32">
        <f>D9</f>
        <v>7795.13302752294</v>
      </c>
      <c r="L66" s="74">
        <f>(F7+F8+F9)-(F19+F21+F22+F24)</f>
        <v>-23689.2732110091</v>
      </c>
      <c r="M66" s="32">
        <f>D10</f>
        <v>3073.73100917431</v>
      </c>
      <c r="O66" s="32">
        <f>D11</f>
        <v>19594.495412844</v>
      </c>
    </row>
    <row r="67" ht="18" customHeight="1" spans="1:15">
      <c r="A67" s="33" t="s">
        <v>92</v>
      </c>
      <c r="B67" s="69">
        <f>G7*0.0003</f>
        <v>110.4192</v>
      </c>
      <c r="C67" s="33"/>
      <c r="D67" s="70" t="s">
        <v>93</v>
      </c>
      <c r="E67" s="14">
        <v>0.07</v>
      </c>
      <c r="F67" s="12">
        <f>F66*E67</f>
        <v>256.75073944954</v>
      </c>
      <c r="G67" s="66">
        <f>G66*E67</f>
        <v>472.742752293578</v>
      </c>
      <c r="H67" s="12">
        <f>H66*E67</f>
        <v>723.463871559633</v>
      </c>
      <c r="I67" s="66">
        <f>I66*E67</f>
        <v>-1140.53371651376</v>
      </c>
      <c r="K67" s="12">
        <f>K66*0.07</f>
        <v>545.659311926606</v>
      </c>
      <c r="L67" s="73">
        <f>L66*0.07</f>
        <v>-1658.24912477064</v>
      </c>
      <c r="M67" s="12">
        <f>M66*0.07</f>
        <v>215.161170642202</v>
      </c>
      <c r="O67" s="12">
        <f>O66*0.07</f>
        <v>1371.61467889908</v>
      </c>
    </row>
    <row r="68" ht="18" customHeight="1" spans="1:15">
      <c r="A68" s="33" t="s">
        <v>94</v>
      </c>
      <c r="B68" s="69">
        <f>B16*0.0006</f>
        <v>1811.88186605505</v>
      </c>
      <c r="C68" s="33"/>
      <c r="D68" s="70" t="s">
        <v>95</v>
      </c>
      <c r="E68" s="14">
        <v>0.03</v>
      </c>
      <c r="F68" s="12">
        <f>F66*E68</f>
        <v>110.03603119266</v>
      </c>
      <c r="G68" s="66">
        <f>G66*E68</f>
        <v>202.604036697248</v>
      </c>
      <c r="H68" s="12">
        <f>H66*E68</f>
        <v>310.055944954128</v>
      </c>
      <c r="I68" s="66">
        <f>I66*E68</f>
        <v>-488.800164220183</v>
      </c>
      <c r="K68" s="12">
        <f>K66*0.03</f>
        <v>233.853990825688</v>
      </c>
      <c r="L68" s="73">
        <f>L66*0.03</f>
        <v>-710.678196330273</v>
      </c>
      <c r="M68" s="12">
        <f>M66*0.03</f>
        <v>92.2119302752294</v>
      </c>
      <c r="O68" s="12">
        <f>O66*0.03</f>
        <v>587.834862385321</v>
      </c>
    </row>
    <row r="69" ht="18" customHeight="1" spans="1:15">
      <c r="A69" s="33"/>
      <c r="B69" s="66"/>
      <c r="C69" s="33"/>
      <c r="D69" s="70" t="s">
        <v>96</v>
      </c>
      <c r="E69" s="14">
        <v>0.02</v>
      </c>
      <c r="F69" s="12">
        <f>F66*E69</f>
        <v>73.3573541284399</v>
      </c>
      <c r="G69" s="66">
        <f>G66*E69</f>
        <v>135.069357798165</v>
      </c>
      <c r="H69" s="12">
        <f>H66*E69</f>
        <v>206.703963302752</v>
      </c>
      <c r="I69" s="66">
        <f>I66*E69</f>
        <v>-325.866776146789</v>
      </c>
      <c r="K69" s="12">
        <f>K66*0.02</f>
        <v>155.902660550459</v>
      </c>
      <c r="L69" s="73">
        <f>L66*0.02</f>
        <v>-473.785464220182</v>
      </c>
      <c r="M69" s="12">
        <f>M66*0.02</f>
        <v>61.4746201834862</v>
      </c>
      <c r="O69" s="12">
        <f>O66*0.02</f>
        <v>391.889908256881</v>
      </c>
    </row>
    <row r="70" ht="18" customHeight="1" spans="1:15">
      <c r="A70" s="29" t="s">
        <v>97</v>
      </c>
      <c r="B70" s="71">
        <f>SUM(B66:B69)</f>
        <v>-5769.21001192744</v>
      </c>
      <c r="C70" s="33"/>
      <c r="D70" s="34" t="s">
        <v>97</v>
      </c>
      <c r="E70" s="29"/>
      <c r="F70" s="32">
        <f>SUM(F66:F69)</f>
        <v>4108.01183119263</v>
      </c>
      <c r="G70" s="68">
        <f>SUM(G66:G69)</f>
        <v>7563.88403669725</v>
      </c>
      <c r="H70" s="32">
        <f>SUM(H66:H69)</f>
        <v>11575.4219449541</v>
      </c>
      <c r="I70" s="68">
        <f>SUM(I66:I69)</f>
        <v>-18248.5394642202</v>
      </c>
      <c r="K70" s="32">
        <f>SUM(K66:K69)</f>
        <v>8730.54899082569</v>
      </c>
      <c r="L70" s="74">
        <f>SUM(L66:L69)</f>
        <v>-26531.9859963302</v>
      </c>
      <c r="M70" s="32">
        <f>SUM(M66:M69)</f>
        <v>3442.57873027523</v>
      </c>
      <c r="O70" s="32">
        <f>SUM(O66:O69)</f>
        <v>21945.8348623853</v>
      </c>
    </row>
    <row r="71" ht="18" customHeight="1" spans="3:15">
      <c r="C71" s="2"/>
      <c r="D71" s="12" t="s">
        <v>92</v>
      </c>
      <c r="E71" s="59">
        <v>0.0003</v>
      </c>
      <c r="F71" s="12">
        <f>G16*E71</f>
        <v>987.475617</v>
      </c>
      <c r="G71" s="66">
        <f>G7*E71</f>
        <v>110.4192</v>
      </c>
      <c r="I71" s="66">
        <f>G8*E71</f>
        <v>168.98049</v>
      </c>
      <c r="K71" s="12">
        <f>G9*0.0003</f>
        <v>127.450425</v>
      </c>
      <c r="M71" s="12">
        <f>G10*0.0003</f>
        <v>50.255502</v>
      </c>
      <c r="O71" s="12">
        <f>G11*0.0003</f>
        <v>320.37</v>
      </c>
    </row>
    <row r="72" ht="18" customHeight="1" spans="3:15">
      <c r="C72" s="2"/>
      <c r="D72" s="12" t="s">
        <v>94</v>
      </c>
      <c r="E72" s="59">
        <v>0.0006</v>
      </c>
      <c r="F72" s="12">
        <f>B16*E72</f>
        <v>1811.88186605505</v>
      </c>
      <c r="G72" s="66">
        <f>B7*E72</f>
        <v>202.604036697248</v>
      </c>
      <c r="I72" s="66">
        <f>B8*E72</f>
        <v>310.055944954128</v>
      </c>
      <c r="K72" s="12">
        <f>B9*0.0006</f>
        <v>233.853990825688</v>
      </c>
      <c r="M72" s="12">
        <f>B10*0.0006</f>
        <v>92.2119302752293</v>
      </c>
      <c r="O72" s="12">
        <f>B11*0.0006</f>
        <v>587.834862385321</v>
      </c>
    </row>
    <row r="73" ht="18" customHeight="1" spans="3:15">
      <c r="C73" s="2"/>
      <c r="D73" s="21" t="s">
        <v>97</v>
      </c>
      <c r="E73" s="42"/>
      <c r="F73" s="31">
        <f>F72+F71</f>
        <v>2799.35748305505</v>
      </c>
      <c r="G73" s="72">
        <f>G71+G72</f>
        <v>313.023236697248</v>
      </c>
      <c r="I73" s="72">
        <f>SUM(I71:I72)</f>
        <v>479.036434954128</v>
      </c>
      <c r="K73" s="31">
        <f>SUM(K71:K72)</f>
        <v>361.304415825688</v>
      </c>
      <c r="M73" s="31">
        <f>SUM(M71:M72)</f>
        <v>142.467432275229</v>
      </c>
      <c r="O73" s="31">
        <f>SUM(O71:O72)</f>
        <v>908.204862385321</v>
      </c>
    </row>
    <row r="74" ht="18" customHeight="1" spans="3:15">
      <c r="C74" s="2"/>
      <c r="D74" s="21" t="s">
        <v>22</v>
      </c>
      <c r="E74" s="31"/>
      <c r="F74" s="31">
        <f>F70+F73</f>
        <v>6907.36931424768</v>
      </c>
      <c r="G74" s="72">
        <f>G70+G73</f>
        <v>7876.90727339449</v>
      </c>
      <c r="I74" s="72">
        <f>I70-I73</f>
        <v>-18727.5758991743</v>
      </c>
      <c r="K74" s="31">
        <f>K70+K73</f>
        <v>9091.85340665137</v>
      </c>
      <c r="M74" s="31">
        <f>M70+M73</f>
        <v>3585.04616255046</v>
      </c>
      <c r="O74" s="31">
        <f>O70+O73</f>
        <v>22854.0397247706</v>
      </c>
    </row>
    <row r="75" ht="18" customHeight="1" spans="3:15">
      <c r="C75" s="2"/>
      <c r="D75" s="31" t="s">
        <v>89</v>
      </c>
      <c r="E75" s="42">
        <v>0.01</v>
      </c>
      <c r="F75" s="31">
        <f>G16*E75</f>
        <v>32915.8539</v>
      </c>
      <c r="G75" s="72">
        <f>G7*E75</f>
        <v>3680.64</v>
      </c>
      <c r="I75" s="72">
        <f>G8*E75</f>
        <v>5632.683</v>
      </c>
      <c r="K75" s="75">
        <f>G9*0.01</f>
        <v>4248.3475</v>
      </c>
      <c r="M75" s="31">
        <f>G10*0.01</f>
        <v>1675.1834</v>
      </c>
      <c r="O75" s="31">
        <f>G11*0.01</f>
        <v>10679</v>
      </c>
    </row>
    <row r="76" ht="20" customHeight="1" spans="3:11">
      <c r="C76" s="2"/>
      <c r="K76" s="76">
        <f>D10</f>
        <v>3073.73100917431</v>
      </c>
    </row>
    <row r="77" ht="20" customHeight="1" spans="3:11">
      <c r="C77" s="2"/>
      <c r="K77" s="77">
        <f>K76*E67</f>
        <v>215.161170642202</v>
      </c>
    </row>
    <row r="78" ht="20" customHeight="1" spans="3:11">
      <c r="C78" s="2"/>
      <c r="K78" s="77">
        <f>K76*E68</f>
        <v>92.2119302752294</v>
      </c>
    </row>
    <row r="79" ht="20" customHeight="1" spans="3:11">
      <c r="C79" s="2"/>
      <c r="K79" s="77">
        <f>K76*E69</f>
        <v>61.4746201834862</v>
      </c>
    </row>
    <row r="80" ht="20" customHeight="1" spans="3:11">
      <c r="C80" s="2"/>
      <c r="K80" s="78">
        <f>SUM(K76:K79)</f>
        <v>3442.57873027523</v>
      </c>
    </row>
    <row r="81" ht="20" customHeight="1" spans="3:11">
      <c r="C81" s="2"/>
      <c r="K81" s="77">
        <f>G10*0.0003</f>
        <v>50.255502</v>
      </c>
    </row>
    <row r="82" ht="20" customHeight="1" spans="3:11">
      <c r="C82" s="2"/>
      <c r="K82" s="77">
        <f>B10*0.0006</f>
        <v>92.2119302752293</v>
      </c>
    </row>
    <row r="83" ht="20" customHeight="1" spans="3:11">
      <c r="C83" s="2"/>
      <c r="K83" s="79">
        <f>SUM(K81:K82)</f>
        <v>142.467432275229</v>
      </c>
    </row>
    <row r="84" ht="20" customHeight="1" spans="3:11">
      <c r="C84" s="2"/>
      <c r="K84" s="80">
        <f>K80+K83</f>
        <v>3585.04616255046</v>
      </c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</sheetData>
  <autoFilter ref="A18:O8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2022-06-23T06:49:05Z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DBCE48994FDB49F3931FEEA695C9A97F</vt:lpwstr>
  </property>
</Properties>
</file>