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Sheet1!$A$18:$O$60</definedName>
  </definedNames>
  <calcPr calcId="144525" concurrentCalc="0"/>
</workbook>
</file>

<file path=xl/comments1.xml><?xml version="1.0" encoding="utf-8"?>
<comments xmlns="http://schemas.openxmlformats.org/spreadsheetml/2006/main">
  <authors>
    <author>qyr</author>
    <author>cw05</author>
  </authors>
  <commentList>
    <comment ref="G20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招待费按60%计成本</t>
        </r>
      </text>
    </comment>
    <comment ref="A52" authorId="1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B52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异地未预缴</t>
        </r>
      </text>
    </comment>
    <comment ref="A53" authorId="1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G56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异地未预缴</t>
        </r>
      </text>
    </comment>
    <comment ref="H56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异地未预缴</t>
        </r>
      </text>
    </comment>
    <comment ref="I56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异地未预缴</t>
        </r>
      </text>
    </comment>
    <comment ref="K56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异地未预缴</t>
        </r>
      </text>
    </comment>
    <comment ref="G57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异地已预缴水利基金2655.05</t>
        </r>
      </text>
    </comment>
    <comment ref="H57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异地已预缴水利基金4397.69</t>
        </r>
      </text>
    </comment>
    <comment ref="I57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异地已预缴447.6</t>
        </r>
      </text>
    </comment>
    <comment ref="K57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异地已预缴570.63</t>
        </r>
      </text>
    </comment>
  </commentList>
</comments>
</file>

<file path=xl/sharedStrings.xml><?xml version="1.0" encoding="utf-8"?>
<sst xmlns="http://schemas.openxmlformats.org/spreadsheetml/2006/main" count="150" uniqueCount="92">
  <si>
    <t>C12814   G237（S203淮六路）二期工程交通安全设施工程</t>
  </si>
  <si>
    <t>中标日期</t>
  </si>
  <si>
    <t>中标价</t>
  </si>
  <si>
    <t>负责人</t>
  </si>
  <si>
    <t>孙容</t>
  </si>
  <si>
    <t>建设单位</t>
  </si>
  <si>
    <t>安徽省公路桥梁工程有限公司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</si>
  <si>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</si>
  <si>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</si>
  <si>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</si>
  <si>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</si>
  <si>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</si>
  <si>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</si>
  <si>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</si>
  <si>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</si>
  <si>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</si>
  <si>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</si>
  <si>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</si>
  <si>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</si>
  <si>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</si>
  <si>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</si>
  <si>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新中行</t>
  </si>
  <si>
    <t>承兑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</si>
  <si>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</si>
  <si>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</si>
  <si>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</si>
  <si>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</si>
  <si>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</si>
  <si>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</si>
  <si>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</si>
  <si>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</si>
  <si>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</si>
  <si>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</si>
  <si>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</si>
  <si>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</si>
  <si>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</si>
  <si>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</si>
  <si>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38份</t>
  </si>
  <si>
    <t>专</t>
  </si>
  <si>
    <t>安徽潇然建设工程有限公司</t>
  </si>
  <si>
    <t>工程服务</t>
  </si>
  <si>
    <t>有</t>
  </si>
  <si>
    <t>合同价7348978</t>
  </si>
  <si>
    <t>4份</t>
  </si>
  <si>
    <t>普</t>
  </si>
  <si>
    <t>招待费</t>
  </si>
  <si>
    <t>1份</t>
  </si>
  <si>
    <t>庐江县台创园其修五金用品经营部</t>
  </si>
  <si>
    <t>线缆</t>
  </si>
  <si>
    <t>庐江县台创园远兮交通器材经营部</t>
  </si>
  <si>
    <t>防撞桶</t>
  </si>
  <si>
    <t>庐江县庐城镇李寿年五金经营部</t>
  </si>
  <si>
    <t>五金工具</t>
  </si>
  <si>
    <t>安徽皖通高速公路股份有限公司</t>
  </si>
  <si>
    <t>通行费</t>
  </si>
  <si>
    <t>中行</t>
  </si>
  <si>
    <t>58份</t>
  </si>
  <si>
    <t>10份</t>
  </si>
  <si>
    <t>合同价5992380</t>
  </si>
  <si>
    <t>差旅费</t>
  </si>
  <si>
    <t>9份</t>
  </si>
  <si>
    <t>收</t>
  </si>
  <si>
    <t>王玲子转王光如徽行卡（含2次5项费用）</t>
  </si>
  <si>
    <t>2次</t>
  </si>
  <si>
    <t>扣</t>
  </si>
  <si>
    <t>转账手续费</t>
  </si>
  <si>
    <t>管理费（扣至合同价）</t>
  </si>
  <si>
    <t>企业所得税1%</t>
  </si>
  <si>
    <t>印花税 （2021年2月份开票）</t>
  </si>
  <si>
    <t>印花税 （2021年1月份开票）</t>
  </si>
  <si>
    <t>1次</t>
  </si>
  <si>
    <t>到账工程款1%</t>
  </si>
  <si>
    <t>2020年12月份印花税</t>
  </si>
  <si>
    <t>应提供成本</t>
  </si>
  <si>
    <t>可支付金额</t>
  </si>
  <si>
    <t>尚需提供成本</t>
  </si>
  <si>
    <t>公司代缴税金：</t>
  </si>
  <si>
    <t>税种</t>
  </si>
  <si>
    <t>税额</t>
  </si>
  <si>
    <t>2020年12月份税金</t>
  </si>
  <si>
    <t>2021年1月份开票税金</t>
  </si>
  <si>
    <t>2021年2月份开票税金</t>
  </si>
  <si>
    <t>2021年4月开票税金</t>
  </si>
  <si>
    <t>企业所得税</t>
  </si>
  <si>
    <t>增值税</t>
  </si>
  <si>
    <t>差额</t>
  </si>
  <si>
    <t>印花税</t>
  </si>
  <si>
    <t>城市维护建设税</t>
  </si>
  <si>
    <t>水利基金</t>
  </si>
  <si>
    <t>教育费附加</t>
  </si>
  <si>
    <t>地方教育费附加</t>
  </si>
  <si>
    <t>小计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</si>
</sst>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yy/m/d;@"/>
    <numFmt numFmtId="177" formatCode="0.00_ "/>
    <numFmt numFmtId="178" formatCode="#,##0.00_ "/>
    <numFmt numFmtId="179" formatCode="yyyy&quot;年&quot;m&quot;月&quot;;@"/>
    <numFmt numFmtId="180" formatCode="#,##0_ "/>
  </numFmts>
  <fonts count="30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rgb="FF333333"/>
      <name val="宋体"/>
      <charset val="134"/>
    </font>
    <font>
      <sz val="9"/>
      <color rgb="FF333333"/>
      <name val="宋体"/>
      <charset val="134"/>
    </font>
    <font>
      <b/>
      <sz val="9"/>
      <color theme="1"/>
      <name val="宋体"/>
      <charset val="134"/>
    </font>
    <font>
      <b/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7" fillId="2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6" fillId="34" borderId="13" applyNumberFormat="0" applyAlignment="0" applyProtection="0">
      <alignment vertical="center"/>
    </xf>
    <xf numFmtId="0" fontId="25" fillId="34" borderId="10" applyNumberFormat="0" applyAlignment="0" applyProtection="0">
      <alignment vertical="center"/>
    </xf>
    <xf numFmtId="0" fontId="23" fillId="27" borderId="12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</cellStyleXfs>
  <cellXfs count="72">
    <xf numFmtId="0" fontId="0" fillId="0" borderId="0" xfId="0"/>
    <xf numFmtId="0" fontId="1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14" fontId="2" fillId="0" borderId="2" xfId="0" applyNumberFormat="1" applyFont="1" applyBorder="1" applyAlignment="1">
      <alignment vertical="center"/>
    </xf>
    <xf numFmtId="178" fontId="2" fillId="0" borderId="2" xfId="0" applyNumberFormat="1" applyFont="1" applyBorder="1" applyAlignment="1">
      <alignment vertical="center"/>
    </xf>
    <xf numFmtId="178" fontId="4" fillId="0" borderId="0" xfId="0" applyNumberFormat="1" applyFont="1"/>
    <xf numFmtId="178" fontId="2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177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left" vertical="center" wrapText="1"/>
    </xf>
    <xf numFmtId="177" fontId="1" fillId="0" borderId="2" xfId="0" applyNumberFormat="1" applyFont="1" applyBorder="1" applyAlignment="1">
      <alignment vertical="center"/>
    </xf>
    <xf numFmtId="178" fontId="6" fillId="0" borderId="2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9" fontId="2" fillId="0" borderId="2" xfId="11" applyNumberFormat="1" applyFont="1" applyBorder="1" applyAlignment="1">
      <alignment horizontal="center" vertical="center"/>
    </xf>
    <xf numFmtId="178" fontId="2" fillId="0" borderId="2" xfId="0" applyNumberFormat="1" applyFont="1" applyFill="1" applyBorder="1" applyAlignment="1">
      <alignment vertical="center"/>
    </xf>
    <xf numFmtId="178" fontId="1" fillId="2" borderId="2" xfId="0" applyNumberFormat="1" applyFont="1" applyFill="1" applyBorder="1" applyAlignment="1">
      <alignment vertical="center"/>
    </xf>
    <xf numFmtId="9" fontId="2" fillId="0" borderId="2" xfId="11" applyFont="1" applyBorder="1" applyAlignment="1">
      <alignment horizontal="center" vertical="center"/>
    </xf>
    <xf numFmtId="176" fontId="7" fillId="0" borderId="2" xfId="0" applyNumberFormat="1" applyFont="1" applyBorder="1" applyAlignment="1">
      <alignment vertical="center"/>
    </xf>
    <xf numFmtId="178" fontId="7" fillId="3" borderId="2" xfId="0" applyNumberFormat="1" applyFont="1" applyFill="1" applyBorder="1" applyAlignment="1">
      <alignment vertical="center"/>
    </xf>
    <xf numFmtId="178" fontId="7" fillId="0" borderId="2" xfId="0" applyNumberFormat="1" applyFont="1" applyBorder="1" applyAlignment="1">
      <alignment vertical="center"/>
    </xf>
    <xf numFmtId="178" fontId="7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6" fontId="7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NumberFormat="1" applyFont="1" applyFill="1" applyBorder="1" applyAlignment="1">
      <alignment horizontal="center" vertical="center"/>
    </xf>
    <xf numFmtId="9" fontId="1" fillId="5" borderId="2" xfId="11" applyFont="1" applyFill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vertical="center"/>
    </xf>
    <xf numFmtId="178" fontId="7" fillId="0" borderId="3" xfId="0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178" fontId="7" fillId="0" borderId="0" xfId="0" applyNumberFormat="1" applyFont="1" applyBorder="1" applyAlignment="1">
      <alignment vertical="center"/>
    </xf>
    <xf numFmtId="0" fontId="7" fillId="0" borderId="0" xfId="0" applyNumberFormat="1" applyFont="1" applyBorder="1" applyAlignment="1">
      <alignment vertical="center"/>
    </xf>
    <xf numFmtId="177" fontId="7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 wrapText="1"/>
    </xf>
    <xf numFmtId="177" fontId="2" fillId="0" borderId="2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177" fontId="2" fillId="0" borderId="2" xfId="0" applyNumberFormat="1" applyFont="1" applyBorder="1" applyAlignment="1">
      <alignment vertical="center"/>
    </xf>
    <xf numFmtId="177" fontId="7" fillId="3" borderId="2" xfId="0" applyNumberFormat="1" applyFont="1" applyFill="1" applyBorder="1" applyAlignment="1">
      <alignment vertical="center"/>
    </xf>
    <xf numFmtId="0" fontId="2" fillId="0" borderId="2" xfId="0" applyNumberFormat="1" applyFont="1" applyBorder="1" applyAlignment="1">
      <alignment vertical="center"/>
    </xf>
    <xf numFmtId="177" fontId="2" fillId="0" borderId="4" xfId="0" applyNumberFormat="1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  <xf numFmtId="176" fontId="3" fillId="6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0" fontId="7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177" fontId="1" fillId="0" borderId="2" xfId="0" applyNumberFormat="1" applyFont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10" fontId="7" fillId="0" borderId="0" xfId="0" applyNumberFormat="1" applyFont="1" applyBorder="1" applyAlignment="1">
      <alignment vertical="center"/>
    </xf>
    <xf numFmtId="10" fontId="8" fillId="0" borderId="0" xfId="0" applyNumberFormat="1" applyFont="1" applyBorder="1" applyAlignment="1">
      <alignment vertical="center"/>
    </xf>
    <xf numFmtId="177" fontId="7" fillId="4" borderId="2" xfId="0" applyNumberFormat="1" applyFont="1" applyFill="1" applyBorder="1" applyAlignment="1">
      <alignment vertical="center"/>
    </xf>
    <xf numFmtId="10" fontId="7" fillId="4" borderId="0" xfId="0" applyNumberFormat="1" applyFont="1" applyFill="1" applyBorder="1" applyAlignment="1">
      <alignment vertical="center"/>
    </xf>
    <xf numFmtId="177" fontId="7" fillId="0" borderId="2" xfId="0" applyNumberFormat="1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105410</xdr:colOff>
      <xdr:row>60</xdr:row>
      <xdr:rowOff>3175</xdr:rowOff>
    </xdr:from>
    <xdr:to>
      <xdr:col>8</xdr:col>
      <xdr:colOff>1028700</xdr:colOff>
      <xdr:row>79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8385" y="13807440"/>
          <a:ext cx="2952115" cy="298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9"/>
  <sheetViews>
    <sheetView tabSelected="1" topLeftCell="A16" workbookViewId="0">
      <selection activeCell="R35" sqref="R35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12.5" style="4" customWidth="1"/>
    <col min="9" max="9" width="13.875" style="3" customWidth="1"/>
    <col min="10" max="10" width="7.625" style="5" customWidth="1"/>
    <col min="11" max="11" width="35.125" style="6" customWidth="1"/>
    <col min="12" max="12" width="12.75" style="6" customWidth="1"/>
    <col min="13" max="13" width="6" style="6" customWidth="1"/>
    <col min="14" max="14" width="5.625" style="6" customWidth="1"/>
    <col min="15" max="15" width="13.75" style="6" customWidth="1"/>
    <col min="16" max="16" width="9.625" style="6"/>
    <col min="17" max="16384" width="9" style="6"/>
  </cols>
  <sheetData>
    <row r="1" ht="21.95" customHeight="1" spans="1:12">
      <c r="A1" s="7" t="s">
        <v>0</v>
      </c>
      <c r="B1" s="8"/>
      <c r="C1" s="8"/>
      <c r="D1" s="8"/>
      <c r="E1" s="8"/>
      <c r="F1" s="9"/>
      <c r="G1" s="9"/>
      <c r="H1" s="8"/>
      <c r="I1" s="9"/>
      <c r="J1" s="8"/>
      <c r="K1" s="20"/>
      <c r="L1" s="20"/>
    </row>
    <row r="2" ht="18" customHeight="1" spans="1:12">
      <c r="A2" s="10" t="s">
        <v>1</v>
      </c>
      <c r="B2" s="11">
        <v>44063</v>
      </c>
      <c r="C2" s="12" t="s">
        <v>2</v>
      </c>
      <c r="D2" s="13">
        <v>15593058</v>
      </c>
      <c r="E2" s="14" t="s">
        <v>3</v>
      </c>
      <c r="F2" s="15" t="s">
        <v>4</v>
      </c>
      <c r="G2" s="16" t="s">
        <v>5</v>
      </c>
      <c r="H2" s="17" t="s">
        <v>6</v>
      </c>
      <c r="I2" s="55"/>
      <c r="J2" s="56"/>
      <c r="K2" s="57"/>
      <c r="L2" s="20"/>
    </row>
    <row r="3" ht="18" customHeight="1" spans="1:12">
      <c r="A3" s="10" t="s">
        <v>7</v>
      </c>
      <c r="B3" s="18"/>
      <c r="C3" s="12" t="s">
        <v>8</v>
      </c>
      <c r="D3" s="19"/>
      <c r="H3" s="20"/>
      <c r="I3" s="58"/>
      <c r="J3" s="20"/>
      <c r="K3" s="20"/>
      <c r="L3" s="20"/>
    </row>
    <row r="4" ht="18" customHeight="1" spans="1:12">
      <c r="A4" s="2" t="s">
        <v>9</v>
      </c>
      <c r="H4" s="20"/>
      <c r="I4" s="58"/>
      <c r="J4" s="20"/>
      <c r="K4" s="20"/>
      <c r="L4" s="20"/>
    </row>
    <row r="5" ht="18" customHeight="1" spans="1:10">
      <c r="A5" s="21" t="s">
        <v>10</v>
      </c>
      <c r="B5" s="22" t="s">
        <v>11</v>
      </c>
      <c r="C5" s="21" t="s">
        <v>12</v>
      </c>
      <c r="D5" s="21"/>
      <c r="E5" s="21" t="s">
        <v>13</v>
      </c>
      <c r="F5" s="22"/>
      <c r="G5" s="22" t="s">
        <v>14</v>
      </c>
      <c r="H5" s="23" t="s">
        <v>15</v>
      </c>
      <c r="I5" s="22"/>
      <c r="J5" s="23"/>
    </row>
    <row r="6" ht="18" customHeight="1" spans="1:10">
      <c r="A6" s="21"/>
      <c r="B6" s="22"/>
      <c r="C6" s="21" t="s">
        <v>16</v>
      </c>
      <c r="D6" s="21" t="s">
        <v>17</v>
      </c>
      <c r="E6" s="21" t="s">
        <v>16</v>
      </c>
      <c r="F6" s="22" t="s">
        <v>17</v>
      </c>
      <c r="G6" s="22"/>
      <c r="H6" s="23" t="s">
        <v>18</v>
      </c>
      <c r="I6" s="22" t="s">
        <v>19</v>
      </c>
      <c r="J6" s="23" t="s">
        <v>20</v>
      </c>
    </row>
    <row r="7" ht="18" customHeight="1" spans="1:10">
      <c r="A7" s="24">
        <v>44174</v>
      </c>
      <c r="B7" s="12">
        <f t="shared" ref="B7:B9" si="0">G7/(1+C7+E7)</f>
        <v>4425079.28440367</v>
      </c>
      <c r="C7" s="25">
        <v>0.02</v>
      </c>
      <c r="D7" s="26">
        <f t="shared" ref="D7:D9" si="1">G7/(1+E7+C7)*C7</f>
        <v>88501.5856880734</v>
      </c>
      <c r="E7" s="25">
        <v>0.07</v>
      </c>
      <c r="F7" s="12">
        <f t="shared" ref="F7:F9" si="2">G7/(1+C7+E7)*E7</f>
        <v>309755.549908257</v>
      </c>
      <c r="G7" s="27">
        <v>4823336.42</v>
      </c>
      <c r="H7" s="24">
        <v>44204</v>
      </c>
      <c r="I7" s="12">
        <v>3000000</v>
      </c>
      <c r="J7" s="59" t="s">
        <v>21</v>
      </c>
    </row>
    <row r="8" ht="18" customHeight="1" spans="1:10">
      <c r="A8" s="24">
        <v>44207</v>
      </c>
      <c r="B8" s="12">
        <f t="shared" si="0"/>
        <v>7329484.88073394</v>
      </c>
      <c r="C8" s="25">
        <v>0.02</v>
      </c>
      <c r="D8" s="26">
        <f t="shared" si="1"/>
        <v>146589.697614679</v>
      </c>
      <c r="E8" s="25">
        <v>0.07</v>
      </c>
      <c r="F8" s="12">
        <f t="shared" si="2"/>
        <v>513063.941651376</v>
      </c>
      <c r="G8" s="27">
        <v>7989138.52</v>
      </c>
      <c r="H8" s="24">
        <v>44234</v>
      </c>
      <c r="I8" s="12">
        <v>7480000</v>
      </c>
      <c r="J8" s="59" t="s">
        <v>22</v>
      </c>
    </row>
    <row r="9" ht="18" customHeight="1" spans="1:10">
      <c r="A9" s="24">
        <v>44228</v>
      </c>
      <c r="B9" s="12">
        <f t="shared" si="0"/>
        <v>745997.71559633</v>
      </c>
      <c r="C9" s="25">
        <v>0.02</v>
      </c>
      <c r="D9" s="26">
        <f t="shared" si="1"/>
        <v>14919.9543119266</v>
      </c>
      <c r="E9" s="25">
        <v>0.07</v>
      </c>
      <c r="F9" s="12">
        <f t="shared" si="2"/>
        <v>52219.8400917431</v>
      </c>
      <c r="G9" s="27">
        <v>813137.51</v>
      </c>
      <c r="H9" s="24">
        <v>44308</v>
      </c>
      <c r="I9" s="12">
        <v>1000000</v>
      </c>
      <c r="J9" s="59" t="s">
        <v>21</v>
      </c>
    </row>
    <row r="10" ht="18" customHeight="1" spans="1:10">
      <c r="A10" s="24">
        <v>44293</v>
      </c>
      <c r="B10" s="12">
        <f t="shared" ref="B10:B15" si="3">G10/(1+C10+E10)</f>
        <v>951057.853211009</v>
      </c>
      <c r="C10" s="25">
        <v>0.02</v>
      </c>
      <c r="D10" s="26">
        <f t="shared" ref="D10:D15" si="4">G10/(1+E10+C10)*C10</f>
        <v>19021.1570642202</v>
      </c>
      <c r="E10" s="25">
        <v>0.07</v>
      </c>
      <c r="F10" s="12">
        <f t="shared" ref="F10:F15" si="5">G10/(1+C10+E10)*E10</f>
        <v>66574.0497247707</v>
      </c>
      <c r="G10" s="27">
        <v>1036653.06</v>
      </c>
      <c r="H10" s="24"/>
      <c r="I10" s="12"/>
      <c r="J10" s="59"/>
    </row>
    <row r="11" ht="18" customHeight="1" spans="1:10">
      <c r="A11" s="24"/>
      <c r="B11" s="12">
        <f t="shared" si="3"/>
        <v>0</v>
      </c>
      <c r="C11" s="28"/>
      <c r="D11" s="26">
        <f t="shared" si="4"/>
        <v>0</v>
      </c>
      <c r="E11" s="25"/>
      <c r="F11" s="12">
        <f t="shared" si="5"/>
        <v>0</v>
      </c>
      <c r="G11" s="27"/>
      <c r="H11" s="24"/>
      <c r="I11" s="12"/>
      <c r="J11" s="59"/>
    </row>
    <row r="12" ht="18" customHeight="1" spans="1:10">
      <c r="A12" s="24"/>
      <c r="B12" s="12">
        <f t="shared" si="3"/>
        <v>0</v>
      </c>
      <c r="C12" s="28"/>
      <c r="D12" s="26">
        <f t="shared" si="4"/>
        <v>0</v>
      </c>
      <c r="E12" s="25"/>
      <c r="F12" s="12">
        <f t="shared" si="5"/>
        <v>0</v>
      </c>
      <c r="G12" s="27"/>
      <c r="H12" s="24"/>
      <c r="I12" s="12"/>
      <c r="J12" s="59"/>
    </row>
    <row r="13" ht="18" customHeight="1" spans="1:10">
      <c r="A13" s="24"/>
      <c r="B13" s="12">
        <f t="shared" si="3"/>
        <v>0</v>
      </c>
      <c r="C13" s="28"/>
      <c r="D13" s="26">
        <f t="shared" si="4"/>
        <v>0</v>
      </c>
      <c r="E13" s="25"/>
      <c r="F13" s="12">
        <f t="shared" si="5"/>
        <v>0</v>
      </c>
      <c r="G13" s="27"/>
      <c r="H13" s="24"/>
      <c r="I13" s="12"/>
      <c r="J13" s="59"/>
    </row>
    <row r="14" ht="18" customHeight="1" spans="1:10">
      <c r="A14" s="24"/>
      <c r="B14" s="12">
        <f t="shared" si="3"/>
        <v>0</v>
      </c>
      <c r="C14" s="28"/>
      <c r="D14" s="26">
        <f t="shared" si="4"/>
        <v>0</v>
      </c>
      <c r="E14" s="25"/>
      <c r="F14" s="12">
        <f t="shared" si="5"/>
        <v>0</v>
      </c>
      <c r="G14" s="27"/>
      <c r="H14" s="24"/>
      <c r="I14" s="12"/>
      <c r="J14" s="59"/>
    </row>
    <row r="15" ht="18" customHeight="1" spans="1:10">
      <c r="A15" s="24"/>
      <c r="B15" s="12">
        <f t="shared" si="3"/>
        <v>0</v>
      </c>
      <c r="C15" s="28"/>
      <c r="D15" s="26">
        <f t="shared" si="4"/>
        <v>0</v>
      </c>
      <c r="E15" s="25"/>
      <c r="F15" s="12">
        <f t="shared" si="5"/>
        <v>0</v>
      </c>
      <c r="G15" s="27"/>
      <c r="H15" s="24"/>
      <c r="I15" s="12"/>
      <c r="J15" s="59"/>
    </row>
    <row r="16" ht="18" customHeight="1" spans="1:10">
      <c r="A16" s="29" t="s">
        <v>23</v>
      </c>
      <c r="B16" s="30">
        <f>SUM(B7:B15)</f>
        <v>13451619.7339449</v>
      </c>
      <c r="C16" s="31"/>
      <c r="D16" s="31">
        <f>SUM(D7:D15)</f>
        <v>269032.394678899</v>
      </c>
      <c r="E16" s="31"/>
      <c r="F16" s="32">
        <f>SUM(F7:F15)</f>
        <v>941613.381376147</v>
      </c>
      <c r="G16" s="31">
        <f>SUM(G7:G15)</f>
        <v>14662265.51</v>
      </c>
      <c r="H16" s="33"/>
      <c r="I16" s="31">
        <f>SUM(I7:I15)</f>
        <v>11480000</v>
      </c>
      <c r="J16" s="33"/>
    </row>
    <row r="17" ht="18" customHeight="1" spans="1:12">
      <c r="A17" s="2" t="s">
        <v>24</v>
      </c>
      <c r="G17" s="3">
        <f>D10+F10</f>
        <v>85595.2067889908</v>
      </c>
      <c r="I17" s="3">
        <f>D2-I16</f>
        <v>4113058</v>
      </c>
      <c r="J17" s="4"/>
      <c r="K17" s="4"/>
      <c r="L17" s="5"/>
    </row>
    <row r="18" ht="18" customHeight="1" spans="1:15">
      <c r="A18" s="34" t="s">
        <v>25</v>
      </c>
      <c r="B18" s="22" t="s">
        <v>26</v>
      </c>
      <c r="C18" s="21" t="s">
        <v>27</v>
      </c>
      <c r="D18" s="21" t="s">
        <v>28</v>
      </c>
      <c r="E18" s="21" t="s">
        <v>16</v>
      </c>
      <c r="F18" s="22" t="s">
        <v>29</v>
      </c>
      <c r="G18" s="22" t="s">
        <v>14</v>
      </c>
      <c r="H18" s="21" t="s">
        <v>30</v>
      </c>
      <c r="I18" s="22" t="s">
        <v>31</v>
      </c>
      <c r="J18" s="21" t="s">
        <v>20</v>
      </c>
      <c r="K18" s="60" t="s">
        <v>32</v>
      </c>
      <c r="L18" s="23" t="s">
        <v>33</v>
      </c>
      <c r="M18" s="23" t="s">
        <v>34</v>
      </c>
      <c r="N18" s="23" t="s">
        <v>35</v>
      </c>
      <c r="O18" s="23" t="s">
        <v>36</v>
      </c>
    </row>
    <row r="19" s="1" customFormat="1" ht="18" customHeight="1" spans="1:15">
      <c r="A19" s="35">
        <v>44166</v>
      </c>
      <c r="B19" s="36">
        <f t="shared" ref="B19:B24" si="6">ROUND(G19/(1+E19),2)</f>
        <v>3442201.83</v>
      </c>
      <c r="C19" s="37" t="s">
        <v>37</v>
      </c>
      <c r="D19" s="38" t="s">
        <v>38</v>
      </c>
      <c r="E19" s="39">
        <v>0.09</v>
      </c>
      <c r="F19" s="36">
        <f t="shared" ref="F19:F24" si="7">ROUND(G19/(1+E19)*E19,2)</f>
        <v>309798.17</v>
      </c>
      <c r="G19" s="27">
        <v>3752000</v>
      </c>
      <c r="H19" s="24"/>
      <c r="I19" s="12"/>
      <c r="J19" s="59"/>
      <c r="K19" s="61" t="s">
        <v>39</v>
      </c>
      <c r="L19" s="62" t="s">
        <v>40</v>
      </c>
      <c r="M19" s="63" t="s">
        <v>41</v>
      </c>
      <c r="N19" s="63"/>
      <c r="O19" s="64" t="s">
        <v>42</v>
      </c>
    </row>
    <row r="20" s="1" customFormat="1" ht="18" customHeight="1" spans="1:15">
      <c r="A20" s="35">
        <v>44197</v>
      </c>
      <c r="B20" s="36">
        <v>2216.6</v>
      </c>
      <c r="C20" s="37" t="s">
        <v>43</v>
      </c>
      <c r="D20" s="38" t="s">
        <v>44</v>
      </c>
      <c r="E20" s="39"/>
      <c r="F20" s="36">
        <f t="shared" si="7"/>
        <v>0</v>
      </c>
      <c r="G20" s="27">
        <v>3694.4</v>
      </c>
      <c r="H20" s="24"/>
      <c r="I20" s="12"/>
      <c r="J20" s="59"/>
      <c r="K20" s="61"/>
      <c r="L20" s="62" t="s">
        <v>45</v>
      </c>
      <c r="M20" s="63"/>
      <c r="N20" s="63"/>
      <c r="O20" s="62"/>
    </row>
    <row r="21" s="1" customFormat="1" ht="18" customHeight="1" spans="1:15">
      <c r="A21" s="35">
        <v>44197</v>
      </c>
      <c r="B21" s="36">
        <f t="shared" si="6"/>
        <v>7485</v>
      </c>
      <c r="C21" s="37" t="s">
        <v>46</v>
      </c>
      <c r="D21" s="38" t="s">
        <v>44</v>
      </c>
      <c r="E21" s="40"/>
      <c r="F21" s="36">
        <f t="shared" si="7"/>
        <v>0</v>
      </c>
      <c r="G21" s="27">
        <v>7485</v>
      </c>
      <c r="H21" s="24"/>
      <c r="I21" s="12"/>
      <c r="J21" s="59"/>
      <c r="K21" s="61" t="s">
        <v>47</v>
      </c>
      <c r="L21" s="62" t="s">
        <v>48</v>
      </c>
      <c r="M21" s="63"/>
      <c r="N21" s="63"/>
      <c r="O21" s="62"/>
    </row>
    <row r="22" s="1" customFormat="1" ht="18" customHeight="1" spans="1:15">
      <c r="A22" s="35">
        <v>44197</v>
      </c>
      <c r="B22" s="36">
        <f t="shared" si="6"/>
        <v>8500</v>
      </c>
      <c r="C22" s="37" t="s">
        <v>46</v>
      </c>
      <c r="D22" s="38" t="s">
        <v>44</v>
      </c>
      <c r="E22" s="40"/>
      <c r="F22" s="36">
        <f t="shared" si="7"/>
        <v>0</v>
      </c>
      <c r="G22" s="27">
        <v>8500</v>
      </c>
      <c r="H22" s="24"/>
      <c r="I22" s="12"/>
      <c r="J22" s="59"/>
      <c r="K22" s="61" t="s">
        <v>49</v>
      </c>
      <c r="L22" s="62" t="s">
        <v>50</v>
      </c>
      <c r="M22" s="63"/>
      <c r="N22" s="63"/>
      <c r="O22" s="62"/>
    </row>
    <row r="23" s="1" customFormat="1" ht="18" customHeight="1" spans="1:15">
      <c r="A23" s="35">
        <v>44197</v>
      </c>
      <c r="B23" s="36">
        <f t="shared" si="6"/>
        <v>5000</v>
      </c>
      <c r="C23" s="37" t="s">
        <v>46</v>
      </c>
      <c r="D23" s="38" t="s">
        <v>44</v>
      </c>
      <c r="E23" s="40"/>
      <c r="F23" s="36">
        <f t="shared" si="7"/>
        <v>0</v>
      </c>
      <c r="G23" s="27">
        <v>5000</v>
      </c>
      <c r="H23" s="24"/>
      <c r="I23" s="12"/>
      <c r="J23" s="59"/>
      <c r="K23" s="61" t="s">
        <v>51</v>
      </c>
      <c r="L23" s="62" t="s">
        <v>52</v>
      </c>
      <c r="M23" s="63"/>
      <c r="N23" s="63"/>
      <c r="O23" s="62"/>
    </row>
    <row r="24" s="1" customFormat="1" ht="18" customHeight="1" spans="1:15">
      <c r="A24" s="35">
        <v>44197</v>
      </c>
      <c r="B24" s="36">
        <f t="shared" si="6"/>
        <v>2558.93</v>
      </c>
      <c r="C24" s="37"/>
      <c r="D24" s="38" t="s">
        <v>44</v>
      </c>
      <c r="E24" s="40"/>
      <c r="F24" s="36">
        <f t="shared" si="7"/>
        <v>0</v>
      </c>
      <c r="G24" s="27">
        <v>2558.93</v>
      </c>
      <c r="H24" s="24"/>
      <c r="I24" s="12"/>
      <c r="J24" s="59"/>
      <c r="K24" s="61" t="s">
        <v>53</v>
      </c>
      <c r="L24" s="62" t="s">
        <v>54</v>
      </c>
      <c r="M24" s="63"/>
      <c r="N24" s="63"/>
      <c r="O24" s="62"/>
    </row>
    <row r="25" s="1" customFormat="1" ht="18" customHeight="1" spans="1:15">
      <c r="A25" s="35"/>
      <c r="B25" s="36"/>
      <c r="C25" s="37"/>
      <c r="D25" s="38"/>
      <c r="E25" s="40"/>
      <c r="F25" s="36"/>
      <c r="G25" s="27"/>
      <c r="H25" s="41">
        <v>44211</v>
      </c>
      <c r="I25" s="36">
        <v>2920119.64</v>
      </c>
      <c r="J25" s="63" t="s">
        <v>55</v>
      </c>
      <c r="K25" s="61" t="s">
        <v>39</v>
      </c>
      <c r="L25" s="62"/>
      <c r="M25" s="63"/>
      <c r="N25" s="63"/>
      <c r="O25" s="62"/>
    </row>
    <row r="26" s="1" customFormat="1" ht="18" customHeight="1" spans="1:15">
      <c r="A26" s="35">
        <v>44197</v>
      </c>
      <c r="B26" s="36">
        <f>ROUND(G26/(1+E26),2)</f>
        <v>5700917.43</v>
      </c>
      <c r="C26" s="37" t="s">
        <v>56</v>
      </c>
      <c r="D26" s="38" t="s">
        <v>38</v>
      </c>
      <c r="E26" s="39">
        <v>0.09</v>
      </c>
      <c r="F26" s="36">
        <f>ROUND(G26/(1+E26)*E26,2)</f>
        <v>513082.57</v>
      </c>
      <c r="G26" s="27">
        <v>6214000</v>
      </c>
      <c r="H26" s="24"/>
      <c r="I26" s="12"/>
      <c r="J26" s="59"/>
      <c r="K26" s="61" t="s">
        <v>39</v>
      </c>
      <c r="L26" s="62" t="s">
        <v>40</v>
      </c>
      <c r="M26" s="63"/>
      <c r="N26" s="63"/>
      <c r="O26" s="62"/>
    </row>
    <row r="27" s="1" customFormat="1" ht="18" customHeight="1" spans="1:15">
      <c r="A27" s="35">
        <v>44228</v>
      </c>
      <c r="B27" s="36">
        <f>ROUND(G27/(1+E27),2)</f>
        <v>998165.14</v>
      </c>
      <c r="C27" s="37" t="s">
        <v>57</v>
      </c>
      <c r="D27" s="38" t="s">
        <v>38</v>
      </c>
      <c r="E27" s="39">
        <v>0.09</v>
      </c>
      <c r="F27" s="36">
        <f>ROUND(G27/(1+E27)*E27,2)</f>
        <v>89834.86</v>
      </c>
      <c r="G27" s="27">
        <v>1088000</v>
      </c>
      <c r="H27" s="24"/>
      <c r="I27" s="12"/>
      <c r="J27" s="59"/>
      <c r="K27" s="61" t="s">
        <v>39</v>
      </c>
      <c r="L27" s="62" t="s">
        <v>40</v>
      </c>
      <c r="M27" s="63" t="s">
        <v>41</v>
      </c>
      <c r="N27" s="63"/>
      <c r="O27" s="64" t="s">
        <v>58</v>
      </c>
    </row>
    <row r="28" s="1" customFormat="1" ht="18" customHeight="1" spans="1:15">
      <c r="A28" s="35">
        <v>44228</v>
      </c>
      <c r="B28" s="36">
        <f>ROUND(G28/(1+E28),2)</f>
        <v>1290.2</v>
      </c>
      <c r="C28" s="37"/>
      <c r="D28" s="38"/>
      <c r="E28" s="40"/>
      <c r="F28" s="36">
        <f t="shared" ref="F28:F38" si="8">ROUND(G28/(1+E28)*E28,2)</f>
        <v>0</v>
      </c>
      <c r="G28" s="27">
        <v>1290.2</v>
      </c>
      <c r="H28" s="24"/>
      <c r="I28" s="12"/>
      <c r="J28" s="59"/>
      <c r="K28" s="61" t="s">
        <v>59</v>
      </c>
      <c r="L28" s="62"/>
      <c r="M28" s="63"/>
      <c r="N28" s="63"/>
      <c r="O28" s="62"/>
    </row>
    <row r="29" s="1" customFormat="1" ht="18" customHeight="1" spans="1:15">
      <c r="A29" s="35">
        <v>44228</v>
      </c>
      <c r="B29" s="36">
        <f t="shared" ref="B29:B41" si="9">ROUND(G29/(1+E29),2)</f>
        <v>899174.31</v>
      </c>
      <c r="C29" s="37" t="s">
        <v>60</v>
      </c>
      <c r="D29" s="38" t="s">
        <v>38</v>
      </c>
      <c r="E29" s="39">
        <v>0.09</v>
      </c>
      <c r="F29" s="36">
        <f t="shared" si="8"/>
        <v>80925.69</v>
      </c>
      <c r="G29" s="27">
        <v>980100</v>
      </c>
      <c r="H29" s="24"/>
      <c r="I29" s="12"/>
      <c r="J29" s="59"/>
      <c r="K29" s="61" t="s">
        <v>39</v>
      </c>
      <c r="L29" s="62" t="s">
        <v>40</v>
      </c>
      <c r="M29" s="63" t="s">
        <v>41</v>
      </c>
      <c r="N29" s="63"/>
      <c r="O29" s="64" t="s">
        <v>58</v>
      </c>
    </row>
    <row r="30" s="1" customFormat="1" ht="18" customHeight="1" spans="1:15">
      <c r="A30" s="35"/>
      <c r="B30" s="36">
        <f t="shared" si="9"/>
        <v>0</v>
      </c>
      <c r="C30" s="37"/>
      <c r="D30" s="38"/>
      <c r="E30" s="40"/>
      <c r="F30" s="36">
        <f t="shared" si="8"/>
        <v>0</v>
      </c>
      <c r="G30" s="27"/>
      <c r="H30" s="41">
        <v>44236</v>
      </c>
      <c r="I30" s="36">
        <v>7480000</v>
      </c>
      <c r="J30" s="63" t="s">
        <v>55</v>
      </c>
      <c r="K30" s="61" t="s">
        <v>39</v>
      </c>
      <c r="L30" s="62" t="s">
        <v>40</v>
      </c>
      <c r="M30" s="63"/>
      <c r="N30" s="63"/>
      <c r="O30" s="62"/>
    </row>
    <row r="31" s="1" customFormat="1" ht="18" customHeight="1" spans="1:15">
      <c r="A31" s="35"/>
      <c r="B31" s="36">
        <f t="shared" si="9"/>
        <v>0</v>
      </c>
      <c r="C31" s="37"/>
      <c r="D31" s="38"/>
      <c r="E31" s="40"/>
      <c r="F31" s="36">
        <f t="shared" si="8"/>
        <v>0</v>
      </c>
      <c r="G31" s="27"/>
      <c r="H31" s="24"/>
      <c r="I31" s="12"/>
      <c r="J31" s="59"/>
      <c r="K31" s="61"/>
      <c r="L31" s="62"/>
      <c r="M31" s="63"/>
      <c r="N31" s="63"/>
      <c r="O31" s="62"/>
    </row>
    <row r="32" s="1" customFormat="1" ht="18" customHeight="1" spans="1:15">
      <c r="A32" s="35"/>
      <c r="B32" s="36">
        <f t="shared" si="9"/>
        <v>0</v>
      </c>
      <c r="C32" s="37"/>
      <c r="D32" s="38"/>
      <c r="E32" s="40"/>
      <c r="F32" s="36">
        <f t="shared" si="8"/>
        <v>0</v>
      </c>
      <c r="G32" s="27"/>
      <c r="H32" s="24"/>
      <c r="I32" s="12"/>
      <c r="J32" s="59"/>
      <c r="K32" s="61"/>
      <c r="L32" s="62"/>
      <c r="M32" s="63"/>
      <c r="N32" s="63"/>
      <c r="O32" s="62"/>
    </row>
    <row r="33" s="1" customFormat="1" ht="18" customHeight="1" spans="1:15">
      <c r="A33" s="35"/>
      <c r="B33" s="36">
        <f t="shared" si="9"/>
        <v>0</v>
      </c>
      <c r="C33" s="37"/>
      <c r="D33" s="38"/>
      <c r="E33" s="40"/>
      <c r="F33" s="36">
        <f t="shared" si="8"/>
        <v>0</v>
      </c>
      <c r="G33" s="27"/>
      <c r="H33" s="24"/>
      <c r="I33" s="12"/>
      <c r="J33" s="59"/>
      <c r="K33" s="61"/>
      <c r="L33" s="62"/>
      <c r="M33" s="63"/>
      <c r="N33" s="63"/>
      <c r="O33" s="62"/>
    </row>
    <row r="34" s="1" customFormat="1" ht="18" customHeight="1" spans="1:15">
      <c r="A34" s="35"/>
      <c r="B34" s="36">
        <f t="shared" si="9"/>
        <v>0</v>
      </c>
      <c r="C34" s="37"/>
      <c r="D34" s="38"/>
      <c r="E34" s="40"/>
      <c r="F34" s="36">
        <f t="shared" si="8"/>
        <v>0</v>
      </c>
      <c r="G34" s="27"/>
      <c r="H34" s="24"/>
      <c r="I34" s="12"/>
      <c r="J34" s="59"/>
      <c r="K34" s="61"/>
      <c r="L34" s="62"/>
      <c r="M34" s="63"/>
      <c r="N34" s="63"/>
      <c r="O34" s="62"/>
    </row>
    <row r="35" s="1" customFormat="1" ht="18" customHeight="1" spans="1:15">
      <c r="A35" s="35"/>
      <c r="B35" s="36">
        <f t="shared" si="9"/>
        <v>0</v>
      </c>
      <c r="C35" s="37"/>
      <c r="D35" s="38"/>
      <c r="E35" s="40"/>
      <c r="F35" s="36">
        <f t="shared" si="8"/>
        <v>0</v>
      </c>
      <c r="G35" s="27"/>
      <c r="H35" s="24">
        <v>44236</v>
      </c>
      <c r="I35" s="12">
        <v>-216794.02</v>
      </c>
      <c r="J35" s="59" t="s">
        <v>61</v>
      </c>
      <c r="K35" s="61" t="s">
        <v>62</v>
      </c>
      <c r="L35" s="62"/>
      <c r="M35" s="63"/>
      <c r="N35" s="63"/>
      <c r="O35" s="62"/>
    </row>
    <row r="36" s="1" customFormat="1" ht="18" customHeight="1" spans="1:15">
      <c r="A36" s="35"/>
      <c r="B36" s="36">
        <f t="shared" si="9"/>
        <v>0</v>
      </c>
      <c r="C36" s="37"/>
      <c r="D36" s="38"/>
      <c r="E36" s="40"/>
      <c r="F36" s="36">
        <f t="shared" si="8"/>
        <v>0</v>
      </c>
      <c r="G36" s="27"/>
      <c r="H36" s="24" t="s">
        <v>63</v>
      </c>
      <c r="I36" s="12">
        <v>200</v>
      </c>
      <c r="J36" s="59" t="s">
        <v>64</v>
      </c>
      <c r="K36" s="61" t="s">
        <v>65</v>
      </c>
      <c r="L36" s="62"/>
      <c r="M36" s="63"/>
      <c r="N36" s="63"/>
      <c r="O36" s="62"/>
    </row>
    <row r="37" s="1" customFormat="1" ht="18" customHeight="1" spans="1:15">
      <c r="A37" s="35"/>
      <c r="B37" s="36">
        <f t="shared" si="9"/>
        <v>125930.58</v>
      </c>
      <c r="C37" s="37"/>
      <c r="D37" s="38"/>
      <c r="E37" s="40"/>
      <c r="F37" s="36">
        <f t="shared" si="8"/>
        <v>0</v>
      </c>
      <c r="G37" s="27">
        <v>125930.58</v>
      </c>
      <c r="H37" s="24" t="s">
        <v>63</v>
      </c>
      <c r="I37" s="12">
        <v>125930.58</v>
      </c>
      <c r="J37" s="59" t="s">
        <v>64</v>
      </c>
      <c r="K37" s="61" t="s">
        <v>66</v>
      </c>
      <c r="L37" s="62"/>
      <c r="M37" s="63"/>
      <c r="N37" s="63"/>
      <c r="O37" s="62"/>
    </row>
    <row r="38" s="1" customFormat="1" ht="18" customHeight="1" spans="1:15">
      <c r="A38" s="35"/>
      <c r="B38" s="36">
        <f t="shared" si="9"/>
        <v>0</v>
      </c>
      <c r="C38" s="37"/>
      <c r="D38" s="38"/>
      <c r="E38" s="40"/>
      <c r="F38" s="36">
        <f t="shared" si="8"/>
        <v>0</v>
      </c>
      <c r="G38" s="27"/>
      <c r="H38" s="24" t="s">
        <v>63</v>
      </c>
      <c r="I38" s="12">
        <v>8131.37</v>
      </c>
      <c r="J38" s="59" t="s">
        <v>64</v>
      </c>
      <c r="K38" s="61" t="s">
        <v>67</v>
      </c>
      <c r="L38" s="62"/>
      <c r="M38" s="63"/>
      <c r="N38" s="63"/>
      <c r="O38" s="62"/>
    </row>
    <row r="39" s="1" customFormat="1" ht="18" customHeight="1" spans="1:15">
      <c r="A39" s="35"/>
      <c r="B39" s="36">
        <f t="shared" si="9"/>
        <v>0</v>
      </c>
      <c r="C39" s="37"/>
      <c r="D39" s="38"/>
      <c r="E39" s="40"/>
      <c r="F39" s="36">
        <f t="shared" ref="F36:F41" si="10">ROUND(G39/(1+E39)*E39,2)</f>
        <v>0</v>
      </c>
      <c r="G39" s="27"/>
      <c r="H39" s="24" t="s">
        <v>63</v>
      </c>
      <c r="I39" s="12">
        <v>79891.39</v>
      </c>
      <c r="J39" s="59" t="s">
        <v>64</v>
      </c>
      <c r="K39" s="61" t="s">
        <v>67</v>
      </c>
      <c r="L39" s="62"/>
      <c r="M39" s="63"/>
      <c r="N39" s="63"/>
      <c r="O39" s="62"/>
    </row>
    <row r="40" s="1" customFormat="1" ht="18" customHeight="1" spans="1:15">
      <c r="A40" s="35"/>
      <c r="B40" s="36">
        <f t="shared" si="9"/>
        <v>0</v>
      </c>
      <c r="C40" s="37"/>
      <c r="D40" s="38"/>
      <c r="E40" s="40"/>
      <c r="F40" s="36">
        <f t="shared" si="10"/>
        <v>0</v>
      </c>
      <c r="G40" s="27"/>
      <c r="H40" s="24" t="s">
        <v>63</v>
      </c>
      <c r="I40" s="12">
        <v>243.94</v>
      </c>
      <c r="J40" s="59" t="s">
        <v>64</v>
      </c>
      <c r="K40" s="61" t="s">
        <v>68</v>
      </c>
      <c r="L40" s="62"/>
      <c r="M40" s="63"/>
      <c r="N40" s="63"/>
      <c r="O40" s="62"/>
    </row>
    <row r="41" s="1" customFormat="1" ht="18" customHeight="1" spans="1:15">
      <c r="A41" s="35"/>
      <c r="B41" s="36">
        <f t="shared" si="9"/>
        <v>0</v>
      </c>
      <c r="C41" s="37"/>
      <c r="D41" s="38"/>
      <c r="E41" s="40"/>
      <c r="F41" s="36">
        <f t="shared" si="10"/>
        <v>0</v>
      </c>
      <c r="G41" s="27"/>
      <c r="H41" s="24" t="s">
        <v>63</v>
      </c>
      <c r="I41" s="12">
        <v>2396.74</v>
      </c>
      <c r="J41" s="59" t="s">
        <v>64</v>
      </c>
      <c r="K41" s="61" t="s">
        <v>69</v>
      </c>
      <c r="L41" s="62"/>
      <c r="M41" s="63"/>
      <c r="N41" s="63"/>
      <c r="O41" s="62"/>
    </row>
    <row r="42" s="1" customFormat="1" ht="18" customHeight="1" spans="1:15">
      <c r="A42" s="35"/>
      <c r="B42" s="36"/>
      <c r="C42" s="37"/>
      <c r="D42" s="38"/>
      <c r="E42" s="40"/>
      <c r="F42" s="36"/>
      <c r="G42" s="27"/>
      <c r="H42" s="24" t="s">
        <v>70</v>
      </c>
      <c r="I42" s="12">
        <v>200</v>
      </c>
      <c r="J42" s="59" t="s">
        <v>64</v>
      </c>
      <c r="K42" s="61" t="s">
        <v>65</v>
      </c>
      <c r="L42" s="62"/>
      <c r="M42" s="63"/>
      <c r="N42" s="63"/>
      <c r="O42" s="62"/>
    </row>
    <row r="43" s="1" customFormat="1" ht="18" customHeight="1" spans="1:15">
      <c r="A43" s="35"/>
      <c r="B43" s="36">
        <f>ROUND(G43/(1+E43),2)</f>
        <v>30000</v>
      </c>
      <c r="C43" s="37"/>
      <c r="D43" s="38"/>
      <c r="E43" s="40"/>
      <c r="F43" s="36">
        <f>ROUND(G43/(1+E43)*E43,2)</f>
        <v>0</v>
      </c>
      <c r="G43" s="27">
        <v>30000</v>
      </c>
      <c r="H43" s="24" t="s">
        <v>70</v>
      </c>
      <c r="I43" s="12">
        <v>30000</v>
      </c>
      <c r="J43" s="59" t="s">
        <v>64</v>
      </c>
      <c r="K43" s="61" t="s">
        <v>71</v>
      </c>
      <c r="L43" s="62"/>
      <c r="M43" s="63"/>
      <c r="N43" s="63"/>
      <c r="O43" s="62"/>
    </row>
    <row r="44" s="1" customFormat="1" ht="18" customHeight="1" spans="1:15">
      <c r="A44" s="35"/>
      <c r="B44" s="36">
        <f>ROUND(G44/(1+E44),2)</f>
        <v>0</v>
      </c>
      <c r="C44" s="37"/>
      <c r="D44" s="38"/>
      <c r="E44" s="40"/>
      <c r="F44" s="36">
        <f>ROUND(G44/(1+E44)*E44,2)</f>
        <v>0</v>
      </c>
      <c r="G44" s="27"/>
      <c r="H44" s="24" t="s">
        <v>70</v>
      </c>
      <c r="I44" s="12">
        <v>48233.36</v>
      </c>
      <c r="J44" s="59" t="s">
        <v>64</v>
      </c>
      <c r="K44" s="61" t="s">
        <v>67</v>
      </c>
      <c r="L44" s="62"/>
      <c r="M44" s="63"/>
      <c r="N44" s="63"/>
      <c r="O44" s="62"/>
    </row>
    <row r="45" s="1" customFormat="1" ht="21" customHeight="1" spans="1:15">
      <c r="A45" s="35"/>
      <c r="B45" s="36">
        <f>ROUND(G45/(1+E45),2)</f>
        <v>0</v>
      </c>
      <c r="C45" s="37"/>
      <c r="D45" s="38"/>
      <c r="E45" s="40"/>
      <c r="F45" s="36">
        <f>ROUND(G45/(1+E45)*E45,2)</f>
        <v>0</v>
      </c>
      <c r="G45" s="27"/>
      <c r="H45" s="24" t="s">
        <v>70</v>
      </c>
      <c r="I45" s="12">
        <v>1447</v>
      </c>
      <c r="J45" s="59" t="s">
        <v>64</v>
      </c>
      <c r="K45" s="65" t="s">
        <v>72</v>
      </c>
      <c r="L45" s="62"/>
      <c r="M45" s="63"/>
      <c r="N45" s="63"/>
      <c r="O45" s="62"/>
    </row>
    <row r="46" ht="18" customHeight="1" spans="1:15">
      <c r="A46" s="31" t="s">
        <v>23</v>
      </c>
      <c r="B46" s="30">
        <f>SUM(B19:B45)</f>
        <v>11223440.02</v>
      </c>
      <c r="C46" s="31"/>
      <c r="D46" s="42"/>
      <c r="E46" s="42"/>
      <c r="F46" s="32">
        <f>SUM(F19:F45)</f>
        <v>993641.29</v>
      </c>
      <c r="G46" s="43">
        <f>SUM(G19:G45)</f>
        <v>12218559.11</v>
      </c>
      <c r="H46" s="44"/>
      <c r="I46" s="31">
        <f>SUM(I19:I45)</f>
        <v>10480000</v>
      </c>
      <c r="J46" s="66"/>
      <c r="K46" s="42"/>
      <c r="L46" s="33"/>
      <c r="M46" s="59"/>
      <c r="N46" s="59"/>
      <c r="O46" s="33"/>
    </row>
    <row r="47" ht="18" customHeight="1" spans="1:14">
      <c r="A47" s="45" t="s">
        <v>73</v>
      </c>
      <c r="B47" s="45">
        <f>B16*0.936</f>
        <v>12590716.0709725</v>
      </c>
      <c r="C47" s="45"/>
      <c r="D47" s="46"/>
      <c r="E47" s="46"/>
      <c r="F47" s="47"/>
      <c r="G47" s="47">
        <f>G16-G46</f>
        <v>2443706.4</v>
      </c>
      <c r="H47" s="23" t="s">
        <v>74</v>
      </c>
      <c r="I47" s="31">
        <f>I16-I46</f>
        <v>1000000</v>
      </c>
      <c r="J47" s="6"/>
      <c r="K47" s="67"/>
      <c r="M47" s="48"/>
      <c r="N47" s="48"/>
    </row>
    <row r="48" ht="18" customHeight="1" spans="1:14">
      <c r="A48" s="45" t="s">
        <v>75</v>
      </c>
      <c r="B48" s="45">
        <f>B47-B46</f>
        <v>1367276.0509725</v>
      </c>
      <c r="C48" s="45"/>
      <c r="D48" s="46"/>
      <c r="E48" s="46"/>
      <c r="F48" s="47"/>
      <c r="G48" s="47"/>
      <c r="H48" s="48"/>
      <c r="I48" s="47"/>
      <c r="J48" s="6"/>
      <c r="K48" s="67"/>
      <c r="M48" s="48"/>
      <c r="N48" s="48"/>
    </row>
    <row r="49" ht="18" customHeight="1" spans="1:3">
      <c r="A49" s="2" t="s">
        <v>76</v>
      </c>
      <c r="C49" s="2"/>
    </row>
    <row r="50" ht="18" customHeight="1" spans="1:11">
      <c r="A50" s="23" t="s">
        <v>77</v>
      </c>
      <c r="B50" s="22" t="s">
        <v>78</v>
      </c>
      <c r="C50" s="33"/>
      <c r="D50" s="23" t="s">
        <v>77</v>
      </c>
      <c r="E50" s="21" t="s">
        <v>16</v>
      </c>
      <c r="F50" s="22" t="s">
        <v>78</v>
      </c>
      <c r="G50" s="49" t="s">
        <v>79</v>
      </c>
      <c r="H50" s="12" t="s">
        <v>80</v>
      </c>
      <c r="I50" s="12" t="s">
        <v>81</v>
      </c>
      <c r="J50" s="68"/>
      <c r="K50" s="33" t="s">
        <v>82</v>
      </c>
    </row>
    <row r="51" ht="18" customHeight="1" spans="1:11">
      <c r="A51" s="33" t="s">
        <v>83</v>
      </c>
      <c r="B51" s="18">
        <f>(B47-B46)*0.25</f>
        <v>341819.012743125</v>
      </c>
      <c r="C51" s="33"/>
      <c r="D51" s="29" t="s">
        <v>84</v>
      </c>
      <c r="E51" s="23" t="s">
        <v>85</v>
      </c>
      <c r="F51" s="32">
        <f>F16-F46</f>
        <v>-52027.908623853</v>
      </c>
      <c r="G51" s="32">
        <f>F7-F19</f>
        <v>-42.6200917430688</v>
      </c>
      <c r="H51" s="32">
        <f>F16-F46</f>
        <v>-52027.908623853</v>
      </c>
      <c r="I51" s="69">
        <f>F16-F46</f>
        <v>-52027.908623853</v>
      </c>
      <c r="J51" s="70"/>
      <c r="K51" s="32">
        <f>F16-F46</f>
        <v>-52027.908623853</v>
      </c>
    </row>
    <row r="52" ht="18" customHeight="1" spans="1:11">
      <c r="A52" s="33" t="s">
        <v>86</v>
      </c>
      <c r="B52" s="50">
        <f>G7*0.0003</f>
        <v>1447.000926</v>
      </c>
      <c r="C52" s="33"/>
      <c r="D52" s="51" t="s">
        <v>87</v>
      </c>
      <c r="E52" s="14">
        <v>0.07</v>
      </c>
      <c r="F52" s="12">
        <f>F51*E52</f>
        <v>-3641.95360366971</v>
      </c>
      <c r="G52" s="12">
        <f>G51*E52</f>
        <v>-2.98340642201481</v>
      </c>
      <c r="H52" s="12">
        <f>H51*E52</f>
        <v>-3641.95360366971</v>
      </c>
      <c r="I52" s="52">
        <f>I51*E52</f>
        <v>-3641.95360366971</v>
      </c>
      <c r="K52" s="12">
        <f>K51*E52</f>
        <v>-3641.95360366971</v>
      </c>
    </row>
    <row r="53" ht="18" customHeight="1" spans="1:11">
      <c r="A53" s="33" t="s">
        <v>88</v>
      </c>
      <c r="B53" s="50">
        <f>B16*0.0006</f>
        <v>8070.97184036697</v>
      </c>
      <c r="C53" s="33"/>
      <c r="D53" s="51" t="s">
        <v>89</v>
      </c>
      <c r="E53" s="14">
        <v>0.03</v>
      </c>
      <c r="F53" s="12">
        <f>F51*E53</f>
        <v>-1560.83725871559</v>
      </c>
      <c r="G53" s="12">
        <f>G51*E53</f>
        <v>-1.27860275229206</v>
      </c>
      <c r="H53" s="12">
        <f>H51*E53</f>
        <v>-1560.83725871559</v>
      </c>
      <c r="I53" s="52">
        <f>I51*E53</f>
        <v>-1560.83725871559</v>
      </c>
      <c r="K53" s="12">
        <f>K51*E53</f>
        <v>-1560.83725871559</v>
      </c>
    </row>
    <row r="54" ht="18" customHeight="1" spans="1:11">
      <c r="A54" s="33"/>
      <c r="B54" s="52"/>
      <c r="C54" s="33"/>
      <c r="D54" s="51" t="s">
        <v>90</v>
      </c>
      <c r="E54" s="14">
        <v>0.02</v>
      </c>
      <c r="F54" s="12">
        <f>F51*E54</f>
        <v>-1040.55817247706</v>
      </c>
      <c r="G54" s="12">
        <f>G51*E54</f>
        <v>-0.852401834861375</v>
      </c>
      <c r="H54" s="12">
        <f>H51*E54</f>
        <v>-1040.55817247706</v>
      </c>
      <c r="I54" s="52">
        <f>I51*E54</f>
        <v>-1040.55817247706</v>
      </c>
      <c r="K54" s="12">
        <f>K51*E54</f>
        <v>-1040.55817247706</v>
      </c>
    </row>
    <row r="55" ht="18" customHeight="1" spans="1:11">
      <c r="A55" s="29" t="s">
        <v>91</v>
      </c>
      <c r="B55" s="53">
        <f>SUM(B51:B54)</f>
        <v>351336.985509492</v>
      </c>
      <c r="C55" s="33"/>
      <c r="D55" s="34" t="s">
        <v>91</v>
      </c>
      <c r="E55" s="29"/>
      <c r="F55" s="32">
        <f>SUM(F51:F54)</f>
        <v>-58271.2576587154</v>
      </c>
      <c r="G55" s="32">
        <f>SUM(G51:G54)</f>
        <v>-47.734502752237</v>
      </c>
      <c r="H55" s="32">
        <f>SUM(H51:H54)</f>
        <v>-58271.2576587154</v>
      </c>
      <c r="I55" s="69">
        <f>SUM(I51:I54)</f>
        <v>-58271.2576587154</v>
      </c>
      <c r="J55" s="70"/>
      <c r="K55" s="32">
        <f>SUM(K51:K54)</f>
        <v>-58271.2576587154</v>
      </c>
    </row>
    <row r="56" ht="18" customHeight="1" spans="3:11">
      <c r="C56" s="2"/>
      <c r="D56" s="12" t="s">
        <v>86</v>
      </c>
      <c r="E56" s="54">
        <v>0.0003</v>
      </c>
      <c r="F56" s="12">
        <f>G16*E56</f>
        <v>4398.679653</v>
      </c>
      <c r="G56" s="12">
        <f>G7*0.0003</f>
        <v>1447.000926</v>
      </c>
      <c r="H56" s="12">
        <f>G8*0.0003</f>
        <v>2396.741556</v>
      </c>
      <c r="I56" s="52">
        <f>G9*E56</f>
        <v>243.941253</v>
      </c>
      <c r="K56" s="12">
        <f>G10*E56</f>
        <v>310.995918</v>
      </c>
    </row>
    <row r="57" ht="18" customHeight="1" spans="3:11">
      <c r="C57" s="2"/>
      <c r="D57" s="12" t="s">
        <v>88</v>
      </c>
      <c r="E57" s="54">
        <v>0.0006</v>
      </c>
      <c r="F57" s="12">
        <f>B16*E57</f>
        <v>8070.97184036697</v>
      </c>
      <c r="G57" s="12">
        <v>0</v>
      </c>
      <c r="H57" s="12">
        <v>0</v>
      </c>
      <c r="I57" s="52">
        <v>0</v>
      </c>
      <c r="K57" s="12">
        <v>0</v>
      </c>
    </row>
    <row r="58" ht="18" customHeight="1" spans="3:11">
      <c r="C58" s="2"/>
      <c r="D58" s="21" t="s">
        <v>91</v>
      </c>
      <c r="E58" s="42"/>
      <c r="F58" s="31">
        <f>F57+F56</f>
        <v>12469.651493367</v>
      </c>
      <c r="G58" s="31">
        <f>SUM(G56:G57)</f>
        <v>1447.000926</v>
      </c>
      <c r="H58" s="31">
        <f>SUM(H56:H57)</f>
        <v>2396.741556</v>
      </c>
      <c r="I58" s="71">
        <f>SUM(I56:I57)</f>
        <v>243.941253</v>
      </c>
      <c r="K58" s="31">
        <f>SUM(K56:K57)</f>
        <v>310.995918</v>
      </c>
    </row>
    <row r="59" ht="18" customHeight="1" spans="3:11">
      <c r="C59" s="2"/>
      <c r="D59" s="21" t="s">
        <v>23</v>
      </c>
      <c r="E59" s="31"/>
      <c r="F59" s="31">
        <f>F55+F58</f>
        <v>-45801.6061653484</v>
      </c>
      <c r="G59" s="31">
        <f>G55+G58</f>
        <v>1399.26642324776</v>
      </c>
      <c r="H59" s="31">
        <f>H55+H58</f>
        <v>-55874.5161027154</v>
      </c>
      <c r="I59" s="71"/>
      <c r="K59" s="31">
        <f>K55+K58</f>
        <v>-57960.2617407154</v>
      </c>
    </row>
    <row r="60" ht="18" customHeight="1" spans="3:11">
      <c r="C60" s="2"/>
      <c r="D60" s="31" t="s">
        <v>83</v>
      </c>
      <c r="E60" s="42">
        <v>0.01</v>
      </c>
      <c r="F60" s="31">
        <f>G16*E60</f>
        <v>146622.6551</v>
      </c>
      <c r="G60" s="31">
        <f>G7*E60</f>
        <v>48233.3642</v>
      </c>
      <c r="H60" s="31">
        <f>G8*E60</f>
        <v>79891.3852</v>
      </c>
      <c r="I60" s="71">
        <f>G9*E60</f>
        <v>8131.3751</v>
      </c>
      <c r="K60" s="31">
        <f>G10*E60</f>
        <v>10366.5306</v>
      </c>
    </row>
    <row r="61" ht="18" customHeight="1" spans="3:3">
      <c r="C61" s="2"/>
    </row>
    <row r="62" ht="18" customHeight="1" spans="3:3">
      <c r="C62" s="2"/>
    </row>
    <row r="63" ht="18" customHeight="1" spans="3:3">
      <c r="C63" s="2"/>
    </row>
    <row r="64" spans="3:3">
      <c r="C64" s="2"/>
    </row>
    <row r="65" spans="3:3">
      <c r="C65" s="2"/>
    </row>
    <row r="66" spans="3:3">
      <c r="C66" s="2"/>
    </row>
    <row r="67" spans="3:3">
      <c r="C67" s="2"/>
    </row>
    <row r="68" spans="3:3">
      <c r="C68" s="2"/>
    </row>
    <row r="69" spans="3:3">
      <c r="C69" s="2"/>
    </row>
    <row r="70" spans="3:3">
      <c r="C70" s="2"/>
    </row>
    <row r="71" spans="3:3">
      <c r="C71" s="2"/>
    </row>
    <row r="72" spans="3:3">
      <c r="C72" s="2"/>
    </row>
    <row r="73" spans="3:3">
      <c r="C73" s="2"/>
    </row>
    <row r="74" spans="3:3">
      <c r="C74" s="2"/>
    </row>
    <row r="75" spans="3:3">
      <c r="C75" s="2"/>
    </row>
    <row r="76" spans="3:3">
      <c r="C76" s="2"/>
    </row>
    <row r="77" spans="3:3">
      <c r="C77" s="2"/>
    </row>
    <row r="78" spans="3:3">
      <c r="C78" s="2"/>
    </row>
    <row r="79" spans="3:3">
      <c r="C79" s="2"/>
    </row>
  </sheetData>
  <autoFilter ref="A18:O60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111111111111" right="0.236111111111111" top="0.314583333333333" bottom="0.156944444444444" header="0.314583333333333" footer="0.314583333333333"/>
  <pageSetup paperSize="9" orientation="landscape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2021-06-15T06:04:39Z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C4A7269366B24550BA0019AB322F83B7</vt:lpwstr>
  </property>
</Properties>
</file>