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2" r:id="rId1"/>
    <sheet name="旧" sheetId="1" r:id="rId2"/>
  </sheets>
  <definedNames>
    <definedName name="_xlnm._FilterDatabase" localSheetId="0" hidden="1">新!$A$13:$O$58</definedName>
    <definedName name="_xlnm._FilterDatabase" localSheetId="1" hidden="1">旧!$A$13:$O$42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qyr</author>
    <author>cw05</author>
  </authors>
  <commentList>
    <comment ref="G8" authorId="0">
      <text>
        <r>
          <rPr>
            <sz val="9"/>
            <rFont val="宋体"/>
            <charset val="134"/>
          </rPr>
          <t>cw09:
先开票  ，吴总同意，前期开票异地按129万预缴税款，后期还有129万-1213710=76290税金异地已预缴</t>
        </r>
      </text>
    </comment>
    <comment ref="I21" authorId="1">
      <text>
        <r>
          <rPr>
            <b/>
            <sz val="9"/>
            <rFont val="宋体"/>
            <charset val="134"/>
          </rPr>
          <t>qy2021.2.18</t>
        </r>
        <r>
          <rPr>
            <sz val="9"/>
            <rFont val="宋体"/>
            <charset val="134"/>
          </rPr>
          <t>吴总同意提前办理支付手续，本次钉钉审批通过</t>
        </r>
      </text>
    </comment>
    <comment ref="I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剩余20万不付，履保金押金</t>
        </r>
      </text>
    </comment>
    <comment ref="A51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2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55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H5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</t>
        </r>
      </text>
    </comment>
    <comment ref="I55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异地已经预缴印花税183.00</t>
        </r>
      </text>
    </comment>
    <comment ref="D56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6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rFont val="宋体"/>
            <charset val="134"/>
          </rPr>
          <t>cw09:
先开票  ，吴总同意</t>
        </r>
      </text>
    </comment>
    <comment ref="H34" authorId="0">
      <text>
        <r>
          <rPr>
            <sz val="9"/>
            <rFont val="宋体"/>
            <charset val="134"/>
          </rPr>
          <t>cw09:
印花税已交</t>
        </r>
      </text>
    </comment>
    <comment ref="A3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3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4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<sst xmlns="http://schemas.openxmlformats.org/spreadsheetml/2006/main" count="267" uniqueCount="90">
  <si>
    <t>禄劝至大松树公路（禄劝至半角段）提升整治工程交通安全设施工程</t>
  </si>
  <si>
    <t>中标日期</t>
  </si>
  <si>
    <t>中标价</t>
  </si>
  <si>
    <t>负责人</t>
  </si>
  <si>
    <t>刘中柱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</si>
  <si>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</si>
  <si>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</si>
  <si>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</si>
  <si>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</si>
  <si>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</si>
  <si>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</si>
  <si>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</si>
  <si>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</si>
  <si>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</si>
  <si>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</si>
  <si>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</si>
  <si>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</si>
  <si>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</si>
  <si>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</si>
  <si>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</si>
  <si>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专户（农行）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</si>
  <si>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</si>
  <si>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</si>
  <si>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</si>
  <si>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</si>
  <si>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</si>
  <si>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</si>
  <si>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</si>
  <si>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</si>
  <si>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</si>
  <si>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</si>
  <si>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</si>
  <si>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</si>
  <si>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</si>
  <si>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</si>
  <si>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</si>
  <si>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昆明区晨晟招标有限责任公司</t>
  </si>
  <si>
    <t>代理服务费</t>
  </si>
  <si>
    <t>普</t>
  </si>
  <si>
    <t>造价咨询费</t>
  </si>
  <si>
    <t>云南恒久装饰工程有限公司</t>
  </si>
  <si>
    <t>波形护栏</t>
  </si>
  <si>
    <t>2021-048# 4767088.03元</t>
  </si>
  <si>
    <t>专户</t>
  </si>
  <si>
    <t>普通标线</t>
  </si>
  <si>
    <t>2021-048#   4767088.03元</t>
  </si>
  <si>
    <t>护栏过渡段</t>
  </si>
  <si>
    <t>云南恒久建筑劳务有限公司</t>
  </si>
  <si>
    <t>劳务</t>
  </si>
  <si>
    <t>2021-049# 1365023元</t>
  </si>
  <si>
    <t>2021-2-</t>
  </si>
  <si>
    <t>昆明市人力资源和社会保障局</t>
  </si>
  <si>
    <t>农民工工资保证金</t>
  </si>
  <si>
    <t>扣</t>
  </si>
  <si>
    <t>财务手续费</t>
  </si>
  <si>
    <t>外经证</t>
  </si>
  <si>
    <t>调整</t>
  </si>
  <si>
    <t>支付表与成本表一致</t>
  </si>
  <si>
    <t>管理费</t>
  </si>
  <si>
    <t>企税1%（2021.2-3月开票）</t>
  </si>
  <si>
    <t>水利基金</t>
  </si>
  <si>
    <t>1次</t>
  </si>
  <si>
    <t>王文伍8月份出场费</t>
  </si>
  <si>
    <t>暂扣</t>
  </si>
  <si>
    <t>企税（成本不够）</t>
  </si>
  <si>
    <t>企税1%（2021.1月开票）</t>
  </si>
  <si>
    <t>水利基金（2021.1月开票）</t>
  </si>
  <si>
    <t>增值税及附加（2021.1月开票）</t>
  </si>
  <si>
    <t>应提供成本</t>
  </si>
  <si>
    <t>可支付金额</t>
  </si>
  <si>
    <t>尚需提供成本</t>
  </si>
  <si>
    <t>公司代缴税金：</t>
  </si>
  <si>
    <t>税种</t>
  </si>
  <si>
    <t>税额</t>
  </si>
  <si>
    <t>2021.1月开票扣税</t>
  </si>
  <si>
    <t>2021.2-3月开票扣税</t>
  </si>
  <si>
    <t>2021.5月开票扣税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</si>
  <si>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</si>
  <si>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</si>
  <si>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</si>
  <si>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</si>
  <si>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</si>
  <si>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</si>
  <si>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</si>
  <si>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</si>
  <si>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</si>
  <si>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企业所得税（成本不够暂扣）</t>
  </si>
  <si>
    <t xml:space="preserve">  </t>
  </si>
  <si>
    <t>农行</t>
  </si>
  <si>
    <t>2021.2月开票扣税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</si>
</sst>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0">
      <protection locked="0"/>
    </xf>
  </cellStyleXfs>
  <cellXfs count="95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vertical="center"/>
    </xf>
    <xf numFmtId="176" fontId="6" fillId="3" borderId="0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6" fontId="6" fillId="7" borderId="0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Fill="1" applyBorder="1" applyAlignment="1">
      <alignment horizontal="left" vertical="center" wrapText="1"/>
    </xf>
    <xf numFmtId="178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760730</xdr:colOff>
      <xdr:row>1</xdr:row>
      <xdr:rowOff>195580</xdr:rowOff>
    </xdr:from>
    <xdr:to>
      <xdr:col>11</xdr:col>
      <xdr:colOff>504825</xdr:colOff>
      <xdr:row>11</xdr:row>
      <xdr:rowOff>33020</xdr:rowOff>
    </xdr:to>
    <xdr:pic>
      <xdr:nvPicPr>
        <xdr:cNvPr id="2" name="图片 1" descr="7I9A4R)KE3U20[9{{Y6{O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5555" y="474345"/>
          <a:ext cx="2906395" cy="212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abSelected="1" topLeftCell="A4" workbookViewId="0">
      <selection activeCell="I19" sqref="I19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25" style="4" customWidth="1"/>
    <col min="9" max="9" width="13.875" style="3" customWidth="1"/>
    <col min="10" max="10" width="10" style="5" customWidth="1"/>
    <col min="11" max="11" width="31.5" style="6" customWidth="1"/>
    <col min="12" max="12" width="12.75" style="6" customWidth="1"/>
    <col min="13" max="13" width="22.25" style="6" customWidth="1"/>
    <col min="14" max="14" width="9.375" style="6" customWidth="1"/>
    <col min="15" max="15" width="18.6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44050</v>
      </c>
      <c r="C2" s="11" t="s">
        <v>2</v>
      </c>
      <c r="D2" s="12">
        <v>7193109</v>
      </c>
      <c r="E2" s="13" t="s">
        <v>3</v>
      </c>
      <c r="F2" s="14" t="s">
        <v>4</v>
      </c>
      <c r="G2" s="15" t="s">
        <v>5</v>
      </c>
      <c r="H2" s="16"/>
      <c r="I2" s="56"/>
      <c r="J2" s="57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/>
      <c r="H3" s="18"/>
      <c r="I3" s="58"/>
      <c r="J3" s="18"/>
      <c r="K3" s="18"/>
      <c r="L3" s="18"/>
    </row>
    <row r="4" ht="18" customHeight="1" spans="1:12">
      <c r="A4" s="2" t="s">
        <v>8</v>
      </c>
      <c r="H4" s="18"/>
      <c r="I4" s="58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0">
      <c r="A7" s="22">
        <v>44208</v>
      </c>
      <c r="B7" s="11">
        <f t="shared" ref="B7:B10" si="0">G7/(1+C7+E7)</f>
        <v>2086866.05504587</v>
      </c>
      <c r="C7" s="24">
        <v>0.02</v>
      </c>
      <c r="D7" s="77">
        <f t="shared" ref="D7:D10" si="1">G7/(1+E7+C7)*C7</f>
        <v>41737.3211009174</v>
      </c>
      <c r="E7" s="26">
        <v>0.07</v>
      </c>
      <c r="F7" s="11">
        <f t="shared" ref="F7:F10" si="2">G7/(1+C7+E7)*E7</f>
        <v>146080.623853211</v>
      </c>
      <c r="G7" s="78">
        <v>2274684</v>
      </c>
      <c r="H7" s="22">
        <v>44215</v>
      </c>
      <c r="I7" s="11">
        <v>2274684</v>
      </c>
      <c r="J7" s="59" t="s">
        <v>20</v>
      </c>
    </row>
    <row r="8" ht="18" customHeight="1" spans="1:10">
      <c r="A8" s="22">
        <v>44232</v>
      </c>
      <c r="B8" s="11">
        <f t="shared" si="0"/>
        <v>917431.19266055</v>
      </c>
      <c r="C8" s="24">
        <v>0.02</v>
      </c>
      <c r="D8" s="77">
        <f t="shared" si="1"/>
        <v>18348.623853211</v>
      </c>
      <c r="E8" s="26">
        <v>0.07</v>
      </c>
      <c r="F8" s="11">
        <f t="shared" si="2"/>
        <v>64220.1834862385</v>
      </c>
      <c r="G8" s="78">
        <v>1000000</v>
      </c>
      <c r="H8" s="22">
        <v>44236</v>
      </c>
      <c r="I8" s="11">
        <v>1213710</v>
      </c>
      <c r="J8" s="59" t="s">
        <v>20</v>
      </c>
    </row>
    <row r="9" ht="18" customHeight="1" spans="1:10">
      <c r="A9" s="22">
        <v>44256</v>
      </c>
      <c r="B9" s="11">
        <f t="shared" si="0"/>
        <v>196064.220183486</v>
      </c>
      <c r="C9" s="24">
        <v>0.02</v>
      </c>
      <c r="D9" s="77">
        <f t="shared" si="1"/>
        <v>3921.28440366972</v>
      </c>
      <c r="E9" s="26">
        <v>0.07</v>
      </c>
      <c r="F9" s="11">
        <f t="shared" si="2"/>
        <v>13724.495412844</v>
      </c>
      <c r="G9" s="78">
        <v>213710</v>
      </c>
      <c r="H9" s="22"/>
      <c r="I9" s="11"/>
      <c r="J9" s="59"/>
    </row>
    <row r="10" ht="18" customHeight="1" spans="1:10">
      <c r="A10" s="22">
        <v>44333</v>
      </c>
      <c r="B10" s="11">
        <f t="shared" si="0"/>
        <v>559733.027522936</v>
      </c>
      <c r="C10" s="24">
        <v>0.02</v>
      </c>
      <c r="D10" s="77">
        <f t="shared" si="1"/>
        <v>11194.6605504587</v>
      </c>
      <c r="E10" s="26">
        <v>0.07</v>
      </c>
      <c r="F10" s="11">
        <f t="shared" si="2"/>
        <v>39181.3119266055</v>
      </c>
      <c r="G10" s="78">
        <v>610109</v>
      </c>
      <c r="H10" s="22"/>
      <c r="I10" s="11"/>
      <c r="J10" s="59"/>
    </row>
    <row r="11" ht="18" customHeight="1" spans="1:10">
      <c r="A11" s="28" t="s">
        <v>21</v>
      </c>
      <c r="B11" s="79">
        <f t="shared" ref="B11:G11" si="3">SUM(B7:B10)</f>
        <v>3760094.49541284</v>
      </c>
      <c r="C11" s="30"/>
      <c r="D11" s="30">
        <f t="shared" si="3"/>
        <v>75201.8899082569</v>
      </c>
      <c r="E11" s="30"/>
      <c r="F11" s="80">
        <f t="shared" si="3"/>
        <v>263206.614678899</v>
      </c>
      <c r="G11" s="30">
        <f t="shared" si="3"/>
        <v>4098503</v>
      </c>
      <c r="H11" s="33"/>
      <c r="I11" s="30">
        <f>SUM(I7:I10)</f>
        <v>3488394</v>
      </c>
      <c r="J11" s="33"/>
    </row>
    <row r="12" ht="18" customHeight="1" spans="1:12">
      <c r="A12" s="2" t="s">
        <v>22</v>
      </c>
      <c r="J12" s="4"/>
      <c r="K12" s="4"/>
      <c r="L12" s="5"/>
    </row>
    <row r="13" ht="18" customHeight="1" spans="1:15">
      <c r="A13" s="34" t="s">
        <v>23</v>
      </c>
      <c r="B13" s="20" t="s">
        <v>24</v>
      </c>
      <c r="C13" s="19" t="s">
        <v>25</v>
      </c>
      <c r="D13" s="19" t="s">
        <v>26</v>
      </c>
      <c r="E13" s="19" t="s">
        <v>15</v>
      </c>
      <c r="F13" s="20" t="s">
        <v>27</v>
      </c>
      <c r="G13" s="20" t="s">
        <v>13</v>
      </c>
      <c r="H13" s="19" t="s">
        <v>28</v>
      </c>
      <c r="I13" s="20" t="s">
        <v>29</v>
      </c>
      <c r="J13" s="19" t="s">
        <v>19</v>
      </c>
      <c r="K13" s="60" t="s">
        <v>30</v>
      </c>
      <c r="L13" s="61" t="s">
        <v>31</v>
      </c>
      <c r="M13" s="61" t="s">
        <v>32</v>
      </c>
      <c r="N13" s="61" t="s">
        <v>33</v>
      </c>
      <c r="O13" s="61" t="s">
        <v>34</v>
      </c>
    </row>
    <row r="14" s="1" customFormat="1" ht="18" customHeight="1" spans="1:15">
      <c r="A14" s="35">
        <v>44063</v>
      </c>
      <c r="B14" s="81">
        <f t="shared" ref="B14:B22" si="4">ROUND(G14/(1+E14),2)</f>
        <v>45283.02</v>
      </c>
      <c r="C14" s="37">
        <v>3</v>
      </c>
      <c r="D14" s="38" t="s">
        <v>35</v>
      </c>
      <c r="E14" s="39">
        <v>0.06</v>
      </c>
      <c r="F14" s="81">
        <f t="shared" ref="F14:F22" si="5">ROUND(G14/(1+E14)*E14,2)</f>
        <v>2716.98</v>
      </c>
      <c r="G14" s="78">
        <f>40000+4000+4000</f>
        <v>48000</v>
      </c>
      <c r="H14" s="42"/>
      <c r="I14" s="83"/>
      <c r="J14" s="87"/>
      <c r="K14" s="88" t="s">
        <v>36</v>
      </c>
      <c r="L14" s="88" t="s">
        <v>37</v>
      </c>
      <c r="M14" s="64"/>
      <c r="N14" s="64"/>
      <c r="O14" s="65"/>
    </row>
    <row r="15" s="1" customFormat="1" ht="18" customHeight="1" spans="1:15">
      <c r="A15" s="35">
        <v>44094</v>
      </c>
      <c r="B15" s="81">
        <f t="shared" si="4"/>
        <v>23900</v>
      </c>
      <c r="C15" s="37">
        <v>1</v>
      </c>
      <c r="D15" s="38" t="s">
        <v>38</v>
      </c>
      <c r="E15" s="40"/>
      <c r="F15" s="81">
        <f t="shared" si="5"/>
        <v>0</v>
      </c>
      <c r="G15" s="78">
        <v>23900</v>
      </c>
      <c r="H15" s="42"/>
      <c r="I15" s="83"/>
      <c r="J15" s="87"/>
      <c r="K15" s="88" t="s">
        <v>36</v>
      </c>
      <c r="L15" s="88" t="s">
        <v>39</v>
      </c>
      <c r="M15" s="64"/>
      <c r="N15" s="64"/>
      <c r="O15" s="65"/>
    </row>
    <row r="16" s="1" customFormat="1" ht="18" customHeight="1" spans="1:15">
      <c r="A16" s="35">
        <v>44197</v>
      </c>
      <c r="B16" s="81">
        <f t="shared" si="4"/>
        <v>191146.19</v>
      </c>
      <c r="C16" s="37">
        <v>2</v>
      </c>
      <c r="D16" s="38" t="s">
        <v>35</v>
      </c>
      <c r="E16" s="40">
        <v>0.13</v>
      </c>
      <c r="F16" s="81">
        <f t="shared" si="5"/>
        <v>24849.01</v>
      </c>
      <c r="G16" s="78">
        <f>107997.6*2</f>
        <v>215995.2</v>
      </c>
      <c r="H16" s="42"/>
      <c r="I16" s="83"/>
      <c r="J16" s="64"/>
      <c r="K16" s="88" t="s">
        <v>40</v>
      </c>
      <c r="L16" s="68" t="s">
        <v>41</v>
      </c>
      <c r="M16" s="89" t="s">
        <v>42</v>
      </c>
      <c r="N16" s="70"/>
      <c r="O16" s="68"/>
    </row>
    <row r="17" s="1" customFormat="1" ht="18" customHeight="1" spans="1:15">
      <c r="A17" s="35">
        <v>44197</v>
      </c>
      <c r="B17" s="81">
        <f t="shared" si="4"/>
        <v>355115.04</v>
      </c>
      <c r="C17" s="37">
        <v>4</v>
      </c>
      <c r="D17" s="38" t="s">
        <v>35</v>
      </c>
      <c r="E17" s="40">
        <v>0.13</v>
      </c>
      <c r="F17" s="82">
        <f t="shared" si="5"/>
        <v>46164.96</v>
      </c>
      <c r="G17" s="78">
        <f>100320*4</f>
        <v>401280</v>
      </c>
      <c r="H17" s="42">
        <v>44218</v>
      </c>
      <c r="I17" s="90">
        <v>1247392.38</v>
      </c>
      <c r="J17" s="64" t="s">
        <v>43</v>
      </c>
      <c r="K17" s="72" t="s">
        <v>40</v>
      </c>
      <c r="L17" s="65" t="s">
        <v>44</v>
      </c>
      <c r="M17" s="89" t="s">
        <v>45</v>
      </c>
      <c r="N17" s="64"/>
      <c r="O17" s="68"/>
    </row>
    <row r="18" s="1" customFormat="1" ht="18" customHeight="1" spans="1:15">
      <c r="A18" s="35">
        <v>44197</v>
      </c>
      <c r="B18" s="81">
        <f t="shared" si="4"/>
        <v>557625.82</v>
      </c>
      <c r="C18" s="37">
        <v>6</v>
      </c>
      <c r="D18" s="38" t="s">
        <v>35</v>
      </c>
      <c r="E18" s="40">
        <v>0.13</v>
      </c>
      <c r="F18" s="81">
        <f t="shared" si="5"/>
        <v>72491.36</v>
      </c>
      <c r="G18" s="78">
        <f>105019.53*6</f>
        <v>630117.18</v>
      </c>
      <c r="H18" s="42"/>
      <c r="I18" s="83"/>
      <c r="J18" s="64"/>
      <c r="K18" s="72" t="s">
        <v>40</v>
      </c>
      <c r="L18" s="65" t="s">
        <v>46</v>
      </c>
      <c r="M18" s="89" t="s">
        <v>45</v>
      </c>
      <c r="N18" s="64"/>
      <c r="O18" s="68"/>
    </row>
    <row r="19" s="1" customFormat="1" ht="18" customHeight="1" spans="1:15">
      <c r="A19" s="35">
        <v>44228</v>
      </c>
      <c r="B19" s="81">
        <f t="shared" si="4"/>
        <v>647339.45</v>
      </c>
      <c r="C19" s="37">
        <v>1</v>
      </c>
      <c r="D19" s="38" t="s">
        <v>35</v>
      </c>
      <c r="E19" s="40">
        <v>0.09</v>
      </c>
      <c r="F19" s="81">
        <f t="shared" si="5"/>
        <v>58260.55</v>
      </c>
      <c r="G19" s="78">
        <v>705600</v>
      </c>
      <c r="H19" s="42">
        <v>44230</v>
      </c>
      <c r="I19" s="83">
        <v>529200</v>
      </c>
      <c r="J19" s="64" t="s">
        <v>43</v>
      </c>
      <c r="K19" s="73" t="s">
        <v>47</v>
      </c>
      <c r="L19" s="65" t="s">
        <v>48</v>
      </c>
      <c r="M19" s="91" t="s">
        <v>49</v>
      </c>
      <c r="N19" s="64"/>
      <c r="O19" s="65"/>
    </row>
    <row r="20" s="1" customFormat="1" ht="18" customHeight="1" spans="1:15">
      <c r="A20" s="35"/>
      <c r="B20" s="81">
        <f t="shared" si="4"/>
        <v>0</v>
      </c>
      <c r="C20" s="37"/>
      <c r="D20" s="38"/>
      <c r="E20" s="40"/>
      <c r="F20" s="81">
        <f t="shared" si="5"/>
        <v>0</v>
      </c>
      <c r="G20" s="78"/>
      <c r="H20" s="42">
        <v>44266</v>
      </c>
      <c r="I20" s="83">
        <v>176400</v>
      </c>
      <c r="J20" s="64" t="s">
        <v>43</v>
      </c>
      <c r="K20" s="73" t="s">
        <v>47</v>
      </c>
      <c r="L20" s="65" t="s">
        <v>48</v>
      </c>
      <c r="M20" s="64"/>
      <c r="N20" s="64"/>
      <c r="O20" s="65"/>
    </row>
    <row r="21" s="1" customFormat="1" ht="18" customHeight="1" spans="1:15">
      <c r="A21" s="35"/>
      <c r="B21" s="81">
        <f t="shared" si="4"/>
        <v>0</v>
      </c>
      <c r="C21" s="37"/>
      <c r="D21" s="38"/>
      <c r="E21" s="40"/>
      <c r="F21" s="81">
        <f>ROUND(G21/(1+E21)*E21,2)</f>
        <v>0</v>
      </c>
      <c r="G21" s="78"/>
      <c r="H21" s="42" t="s">
        <v>50</v>
      </c>
      <c r="I21" s="83">
        <v>210000</v>
      </c>
      <c r="J21" s="64" t="s">
        <v>43</v>
      </c>
      <c r="K21" s="73" t="s">
        <v>51</v>
      </c>
      <c r="L21" s="65" t="s">
        <v>52</v>
      </c>
      <c r="M21" s="64"/>
      <c r="N21" s="64"/>
      <c r="O21" s="65"/>
    </row>
    <row r="22" s="1" customFormat="1" ht="18" customHeight="1" spans="1:15">
      <c r="A22" s="35">
        <v>44267</v>
      </c>
      <c r="B22" s="81">
        <f t="shared" si="4"/>
        <v>732904.12</v>
      </c>
      <c r="C22" s="37">
        <v>9</v>
      </c>
      <c r="D22" s="38" t="s">
        <v>35</v>
      </c>
      <c r="E22" s="39">
        <v>0.13</v>
      </c>
      <c r="F22" s="81">
        <f>ROUND(G22/(1+E22)*E22,2)</f>
        <v>95277.53</v>
      </c>
      <c r="G22" s="78">
        <v>828181.65</v>
      </c>
      <c r="H22" s="42"/>
      <c r="I22" s="83"/>
      <c r="J22" s="64"/>
      <c r="K22" s="72" t="s">
        <v>40</v>
      </c>
      <c r="L22" s="65" t="s">
        <v>46</v>
      </c>
      <c r="M22" s="89" t="s">
        <v>45</v>
      </c>
      <c r="N22" s="64"/>
      <c r="O22" s="65"/>
    </row>
    <row r="23" s="1" customFormat="1" ht="18" customHeight="1" spans="1:15">
      <c r="A23" s="35"/>
      <c r="B23" s="81">
        <f>ROUND(G23/(1+E23),2)</f>
        <v>0</v>
      </c>
      <c r="C23" s="37"/>
      <c r="D23" s="38"/>
      <c r="E23" s="40"/>
      <c r="F23" s="81">
        <f>ROUND(G23/(1+E23)*E23,2)</f>
        <v>0</v>
      </c>
      <c r="G23" s="78"/>
      <c r="H23" s="42">
        <v>44284</v>
      </c>
      <c r="I23" s="11">
        <v>628181.65</v>
      </c>
      <c r="J23" s="59" t="s">
        <v>43</v>
      </c>
      <c r="K23" s="86" t="s">
        <v>40</v>
      </c>
      <c r="L23" s="65" t="s">
        <v>46</v>
      </c>
      <c r="M23" s="59"/>
      <c r="N23" s="64"/>
      <c r="O23" s="92"/>
    </row>
    <row r="24" s="1" customFormat="1" ht="18" customHeight="1" spans="1:15">
      <c r="A24" s="35"/>
      <c r="B24" s="81">
        <f>ROUND(G24/(1+E24),2)</f>
        <v>0</v>
      </c>
      <c r="C24" s="37"/>
      <c r="D24" s="38"/>
      <c r="E24" s="40"/>
      <c r="F24" s="81">
        <f>ROUND(G24/(1+E24)*E24,2)</f>
        <v>0</v>
      </c>
      <c r="G24" s="78"/>
      <c r="H24" s="42"/>
      <c r="I24" s="83"/>
      <c r="J24" s="64"/>
      <c r="K24" s="73"/>
      <c r="L24" s="65"/>
      <c r="M24" s="59"/>
      <c r="N24" s="64"/>
      <c r="O24" s="65"/>
    </row>
    <row r="25" s="1" customFormat="1" ht="18" customHeight="1" spans="1:15">
      <c r="A25" s="35"/>
      <c r="B25" s="81"/>
      <c r="C25" s="37"/>
      <c r="D25" s="38"/>
      <c r="E25" s="40"/>
      <c r="F25" s="81"/>
      <c r="G25" s="78"/>
      <c r="H25" s="42"/>
      <c r="I25" s="83"/>
      <c r="J25" s="64"/>
      <c r="K25" s="73"/>
      <c r="L25" s="65"/>
      <c r="M25" s="59"/>
      <c r="N25" s="64"/>
      <c r="O25" s="65"/>
    </row>
    <row r="26" s="1" customFormat="1" ht="18" customHeight="1" spans="1:15">
      <c r="A26" s="35"/>
      <c r="B26" s="81"/>
      <c r="C26" s="37"/>
      <c r="D26" s="38"/>
      <c r="E26" s="40"/>
      <c r="F26" s="81"/>
      <c r="G26" s="78"/>
      <c r="H26" s="42"/>
      <c r="I26" s="83"/>
      <c r="J26" s="64"/>
      <c r="K26" s="73"/>
      <c r="L26" s="65"/>
      <c r="M26" s="59"/>
      <c r="N26" s="64"/>
      <c r="O26" s="65"/>
    </row>
    <row r="27" s="1" customFormat="1" ht="18" customHeight="1" spans="1:15">
      <c r="A27" s="35"/>
      <c r="B27" s="81"/>
      <c r="C27" s="37"/>
      <c r="D27" s="38"/>
      <c r="E27" s="40"/>
      <c r="F27" s="81"/>
      <c r="G27" s="78"/>
      <c r="H27" s="42"/>
      <c r="I27" s="83"/>
      <c r="J27" s="64"/>
      <c r="K27" s="73"/>
      <c r="L27" s="65"/>
      <c r="M27" s="59"/>
      <c r="N27" s="64"/>
      <c r="O27" s="65"/>
    </row>
    <row r="28" s="1" customFormat="1" ht="18" customHeight="1" spans="1:15">
      <c r="A28" s="35"/>
      <c r="B28" s="81"/>
      <c r="C28" s="37"/>
      <c r="D28" s="38"/>
      <c r="E28" s="40"/>
      <c r="F28" s="81"/>
      <c r="G28" s="78"/>
      <c r="H28" s="42"/>
      <c r="I28" s="83"/>
      <c r="J28" s="64"/>
      <c r="K28" s="73"/>
      <c r="L28" s="65"/>
      <c r="M28" s="59"/>
      <c r="N28" s="64"/>
      <c r="O28" s="65"/>
    </row>
    <row r="29" s="1" customFormat="1" ht="18" customHeight="1" spans="1:15">
      <c r="A29" s="35"/>
      <c r="B29" s="81"/>
      <c r="C29" s="37"/>
      <c r="D29" s="38"/>
      <c r="E29" s="40"/>
      <c r="F29" s="81"/>
      <c r="G29" s="78"/>
      <c r="H29" s="42"/>
      <c r="I29" s="83"/>
      <c r="J29" s="64"/>
      <c r="K29" s="73"/>
      <c r="L29" s="65"/>
      <c r="M29" s="59"/>
      <c r="N29" s="64"/>
      <c r="O29" s="65"/>
    </row>
    <row r="30" s="1" customFormat="1" ht="18" customHeight="1" spans="1:15">
      <c r="A30" s="35"/>
      <c r="B30" s="81">
        <f t="shared" ref="B30:B39" si="6">ROUND(G30/(1+E30),2)</f>
        <v>0</v>
      </c>
      <c r="C30" s="37"/>
      <c r="D30" s="38"/>
      <c r="E30" s="40"/>
      <c r="F30" s="81">
        <f>ROUND(G30/(1+E30)*E30,2)</f>
        <v>0</v>
      </c>
      <c r="G30" s="78"/>
      <c r="H30" s="42">
        <v>44272</v>
      </c>
      <c r="I30" s="83">
        <v>100</v>
      </c>
      <c r="J30" s="59" t="s">
        <v>53</v>
      </c>
      <c r="K30" s="73" t="s">
        <v>54</v>
      </c>
      <c r="L30" s="65"/>
      <c r="M30" s="59"/>
      <c r="N30" s="64"/>
      <c r="O30" s="65"/>
    </row>
    <row r="31" s="1" customFormat="1" ht="18" customHeight="1" spans="1:15">
      <c r="A31" s="35"/>
      <c r="B31" s="81">
        <f t="shared" si="6"/>
        <v>0</v>
      </c>
      <c r="C31" s="37"/>
      <c r="D31" s="38"/>
      <c r="E31" s="40"/>
      <c r="F31" s="81">
        <f>ROUND(G31/(1+E31)*E31,2)</f>
        <v>0</v>
      </c>
      <c r="G31" s="78"/>
      <c r="H31" s="42">
        <v>44265</v>
      </c>
      <c r="I31" s="83">
        <v>500</v>
      </c>
      <c r="J31" s="59" t="s">
        <v>53</v>
      </c>
      <c r="K31" s="73" t="s">
        <v>55</v>
      </c>
      <c r="L31" s="65"/>
      <c r="M31" s="59"/>
      <c r="N31" s="64"/>
      <c r="O31" s="65"/>
    </row>
    <row r="32" s="1" customFormat="1" ht="18" customHeight="1" spans="1:15">
      <c r="A32" s="35"/>
      <c r="B32" s="81">
        <f t="shared" si="6"/>
        <v>0</v>
      </c>
      <c r="C32" s="37"/>
      <c r="D32" s="38"/>
      <c r="E32" s="40"/>
      <c r="F32" s="81">
        <f>ROUND(G32/(1+E32)*E32,2)</f>
        <v>0</v>
      </c>
      <c r="G32" s="78"/>
      <c r="H32" s="42">
        <v>44265</v>
      </c>
      <c r="I32" s="83">
        <v>-0.01</v>
      </c>
      <c r="J32" s="64" t="s">
        <v>56</v>
      </c>
      <c r="K32" s="73" t="s">
        <v>57</v>
      </c>
      <c r="L32" s="65"/>
      <c r="M32" s="59"/>
      <c r="N32" s="64"/>
      <c r="O32" s="65"/>
    </row>
    <row r="33" s="1" customFormat="1" ht="18" customHeight="1" spans="1:15">
      <c r="A33" s="35"/>
      <c r="B33" s="81">
        <f t="shared" si="6"/>
        <v>0</v>
      </c>
      <c r="C33" s="37"/>
      <c r="D33" s="38"/>
      <c r="E33" s="40"/>
      <c r="F33" s="81">
        <f>ROUND(G33/(1+E33)*E33,2)</f>
        <v>0</v>
      </c>
      <c r="G33" s="78"/>
      <c r="H33" s="42">
        <v>44265</v>
      </c>
      <c r="I33" s="83">
        <v>200</v>
      </c>
      <c r="J33" s="59" t="s">
        <v>53</v>
      </c>
      <c r="K33" s="73" t="s">
        <v>54</v>
      </c>
      <c r="L33" s="65"/>
      <c r="M33" s="59"/>
      <c r="N33" s="64"/>
      <c r="O33" s="65"/>
    </row>
    <row r="34" s="1" customFormat="1" ht="18" customHeight="1" spans="1:15">
      <c r="A34" s="35"/>
      <c r="B34" s="81">
        <f t="shared" si="6"/>
        <v>12137</v>
      </c>
      <c r="C34" s="37"/>
      <c r="D34" s="38"/>
      <c r="E34" s="40"/>
      <c r="F34" s="81">
        <f t="shared" ref="F32:F39" si="7">ROUND(G34/(1+E34)*E34,2)</f>
        <v>0</v>
      </c>
      <c r="G34" s="78">
        <v>12137</v>
      </c>
      <c r="H34" s="42">
        <v>44265</v>
      </c>
      <c r="I34" s="83">
        <v>12137.1</v>
      </c>
      <c r="J34" s="59" t="s">
        <v>53</v>
      </c>
      <c r="K34" s="73" t="s">
        <v>58</v>
      </c>
      <c r="L34" s="65"/>
      <c r="M34" s="59"/>
      <c r="N34" s="64"/>
      <c r="O34" s="65"/>
    </row>
    <row r="35" s="1" customFormat="1" ht="18" customHeight="1" spans="1:15">
      <c r="A35" s="35"/>
      <c r="B35" s="81">
        <f t="shared" si="6"/>
        <v>0</v>
      </c>
      <c r="C35" s="37"/>
      <c r="D35" s="38"/>
      <c r="E35" s="40"/>
      <c r="F35" s="81">
        <f t="shared" si="7"/>
        <v>0</v>
      </c>
      <c r="G35" s="78"/>
      <c r="H35" s="42">
        <v>44265</v>
      </c>
      <c r="I35" s="83">
        <v>12137.1</v>
      </c>
      <c r="J35" s="64" t="s">
        <v>53</v>
      </c>
      <c r="K35" s="73" t="s">
        <v>59</v>
      </c>
      <c r="L35" s="65"/>
      <c r="M35" s="59"/>
      <c r="N35" s="64"/>
      <c r="O35" s="65"/>
    </row>
    <row r="36" s="1" customFormat="1" ht="18" customHeight="1" spans="1:15">
      <c r="A36" s="35"/>
      <c r="B36" s="81">
        <f t="shared" si="6"/>
        <v>0</v>
      </c>
      <c r="C36" s="37"/>
      <c r="D36" s="38"/>
      <c r="E36" s="40"/>
      <c r="F36" s="81">
        <f t="shared" si="7"/>
        <v>0</v>
      </c>
      <c r="G36" s="78"/>
      <c r="H36" s="42">
        <v>44265</v>
      </c>
      <c r="I36" s="83">
        <v>668.1</v>
      </c>
      <c r="J36" s="64" t="s">
        <v>53</v>
      </c>
      <c r="K36" s="73" t="s">
        <v>60</v>
      </c>
      <c r="L36" s="65"/>
      <c r="M36" s="59"/>
      <c r="N36" s="64"/>
      <c r="O36" s="65"/>
    </row>
    <row r="37" s="1" customFormat="1" ht="18" customHeight="1" spans="1:15">
      <c r="A37" s="35"/>
      <c r="B37" s="81">
        <f t="shared" si="6"/>
        <v>0</v>
      </c>
      <c r="C37" s="37"/>
      <c r="D37" s="38"/>
      <c r="E37" s="40"/>
      <c r="F37" s="81">
        <f t="shared" si="7"/>
        <v>0</v>
      </c>
      <c r="G37" s="78"/>
      <c r="H37" s="44" t="s">
        <v>61</v>
      </c>
      <c r="I37" s="11">
        <v>100</v>
      </c>
      <c r="J37" s="59" t="s">
        <v>53</v>
      </c>
      <c r="K37" s="73" t="s">
        <v>54</v>
      </c>
      <c r="L37" s="65"/>
      <c r="M37" s="59"/>
      <c r="N37" s="64"/>
      <c r="O37" s="65"/>
    </row>
    <row r="38" s="1" customFormat="1" ht="18" customHeight="1" spans="1:15">
      <c r="A38" s="35"/>
      <c r="B38" s="81">
        <f t="shared" si="6"/>
        <v>0</v>
      </c>
      <c r="C38" s="37"/>
      <c r="D38" s="38"/>
      <c r="E38" s="40"/>
      <c r="F38" s="81">
        <f t="shared" si="7"/>
        <v>0</v>
      </c>
      <c r="G38" s="78"/>
      <c r="H38" s="44" t="s">
        <v>61</v>
      </c>
      <c r="I38" s="11">
        <v>1500</v>
      </c>
      <c r="J38" s="59" t="s">
        <v>53</v>
      </c>
      <c r="K38" s="73" t="s">
        <v>62</v>
      </c>
      <c r="L38" s="65"/>
      <c r="M38" s="59"/>
      <c r="N38" s="64"/>
      <c r="O38" s="65"/>
    </row>
    <row r="39" s="1" customFormat="1" ht="18" customHeight="1" spans="1:15">
      <c r="A39" s="35"/>
      <c r="B39" s="81">
        <f t="shared" si="6"/>
        <v>0</v>
      </c>
      <c r="C39" s="37"/>
      <c r="D39" s="38"/>
      <c r="E39" s="40"/>
      <c r="F39" s="81">
        <f t="shared" si="7"/>
        <v>0</v>
      </c>
      <c r="G39" s="78"/>
      <c r="H39" s="44" t="s">
        <v>61</v>
      </c>
      <c r="I39" s="11">
        <v>200</v>
      </c>
      <c r="J39" s="59" t="s">
        <v>53</v>
      </c>
      <c r="K39" s="73" t="s">
        <v>54</v>
      </c>
      <c r="L39" s="65"/>
      <c r="M39" s="59"/>
      <c r="N39" s="64"/>
      <c r="O39" s="65"/>
    </row>
    <row r="40" s="1" customFormat="1" ht="18" customHeight="1" spans="1:15">
      <c r="A40" s="35"/>
      <c r="B40" s="83">
        <f t="shared" ref="B36:B44" si="8">ROUND(G40/(1+E40),2)</f>
        <v>0</v>
      </c>
      <c r="C40" s="37"/>
      <c r="D40" s="38"/>
      <c r="E40" s="40"/>
      <c r="F40" s="83">
        <f t="shared" ref="F36:F44" si="9">ROUND(G40/(1+E40)*E40,2)</f>
        <v>0</v>
      </c>
      <c r="G40" s="78"/>
      <c r="H40" s="44" t="s">
        <v>61</v>
      </c>
      <c r="I40" s="11">
        <v>341300.080711009</v>
      </c>
      <c r="J40" s="59" t="s">
        <v>63</v>
      </c>
      <c r="K40" s="73" t="s">
        <v>64</v>
      </c>
      <c r="L40" s="65"/>
      <c r="M40" s="59"/>
      <c r="N40" s="64"/>
      <c r="O40" s="65"/>
    </row>
    <row r="41" s="1" customFormat="1" ht="18" customHeight="1" spans="1:15">
      <c r="A41" s="35"/>
      <c r="B41" s="83">
        <f t="shared" si="8"/>
        <v>0</v>
      </c>
      <c r="C41" s="37"/>
      <c r="D41" s="38"/>
      <c r="E41" s="40"/>
      <c r="F41" s="83">
        <f t="shared" si="9"/>
        <v>0</v>
      </c>
      <c r="G41" s="78"/>
      <c r="H41" s="22" t="s">
        <v>61</v>
      </c>
      <c r="I41" s="11">
        <v>22746.84</v>
      </c>
      <c r="J41" s="59" t="s">
        <v>53</v>
      </c>
      <c r="K41" s="73" t="s">
        <v>65</v>
      </c>
      <c r="L41" s="65"/>
      <c r="M41" s="59"/>
      <c r="N41" s="64"/>
      <c r="O41" s="65"/>
    </row>
    <row r="42" s="1" customFormat="1" ht="18" customHeight="1" spans="1:15">
      <c r="A42" s="35"/>
      <c r="B42" s="83">
        <f t="shared" si="8"/>
        <v>0</v>
      </c>
      <c r="C42" s="37"/>
      <c r="D42" s="38"/>
      <c r="E42" s="40"/>
      <c r="F42" s="83">
        <f t="shared" si="9"/>
        <v>0</v>
      </c>
      <c r="G42" s="78"/>
      <c r="H42" s="22" t="s">
        <v>61</v>
      </c>
      <c r="I42" s="11">
        <v>1252.11963302752</v>
      </c>
      <c r="J42" s="59" t="s">
        <v>53</v>
      </c>
      <c r="K42" s="33" t="s">
        <v>66</v>
      </c>
      <c r="L42" s="65"/>
      <c r="M42" s="59"/>
      <c r="N42" s="64"/>
      <c r="O42" s="65"/>
    </row>
    <row r="43" s="1" customFormat="1" ht="18" customHeight="1" spans="1:15">
      <c r="A43" s="35"/>
      <c r="B43" s="83">
        <f t="shared" si="8"/>
        <v>0</v>
      </c>
      <c r="C43" s="37"/>
      <c r="D43" s="38"/>
      <c r="E43" s="40"/>
      <c r="F43" s="83">
        <f t="shared" si="9"/>
        <v>0</v>
      </c>
      <c r="G43" s="78"/>
      <c r="H43" s="22" t="s">
        <v>61</v>
      </c>
      <c r="I43" s="11">
        <v>81031.6347155963</v>
      </c>
      <c r="J43" s="59" t="s">
        <v>53</v>
      </c>
      <c r="K43" s="73" t="s">
        <v>67</v>
      </c>
      <c r="L43" s="65"/>
      <c r="M43" s="59"/>
      <c r="N43" s="64"/>
      <c r="O43" s="65"/>
    </row>
    <row r="44" s="1" customFormat="1" ht="18" customHeight="1" spans="1:15">
      <c r="A44" s="35"/>
      <c r="B44" s="83">
        <f t="shared" si="8"/>
        <v>22746.84</v>
      </c>
      <c r="C44" s="37"/>
      <c r="D44" s="38"/>
      <c r="E44" s="40"/>
      <c r="F44" s="83">
        <f t="shared" si="9"/>
        <v>0</v>
      </c>
      <c r="G44" s="78">
        <v>22746.84</v>
      </c>
      <c r="H44" s="22" t="s">
        <v>61</v>
      </c>
      <c r="I44" s="11">
        <f>G44</f>
        <v>22746.84</v>
      </c>
      <c r="J44" s="59" t="s">
        <v>53</v>
      </c>
      <c r="K44" s="73" t="s">
        <v>58</v>
      </c>
      <c r="L44" s="65"/>
      <c r="M44" s="59"/>
      <c r="N44" s="64"/>
      <c r="O44" s="65"/>
    </row>
    <row r="45" ht="18" customHeight="1" spans="1:15">
      <c r="A45" s="30" t="s">
        <v>21</v>
      </c>
      <c r="B45" s="79">
        <f>SUM(B14:B44)</f>
        <v>2588197.48</v>
      </c>
      <c r="C45" s="30"/>
      <c r="D45" s="45"/>
      <c r="E45" s="45"/>
      <c r="F45" s="80">
        <f>SUM(F14:F44)</f>
        <v>299760.39</v>
      </c>
      <c r="G45" s="84">
        <f>SUM(G14:G44)</f>
        <v>2887957.87</v>
      </c>
      <c r="H45" s="47"/>
      <c r="I45" s="30">
        <f>SUM(I14:I44)</f>
        <v>3287793.83505963</v>
      </c>
      <c r="J45" s="74"/>
      <c r="K45" s="45"/>
      <c r="L45" s="33"/>
      <c r="M45" s="59"/>
      <c r="N45" s="59"/>
      <c r="O45" s="33"/>
    </row>
    <row r="46" ht="18" customHeight="1" spans="1:14">
      <c r="A46" s="48" t="s">
        <v>68</v>
      </c>
      <c r="B46" s="48">
        <f>B11*0.96</f>
        <v>3609690.71559633</v>
      </c>
      <c r="C46" s="48"/>
      <c r="D46" s="50"/>
      <c r="E46" s="50"/>
      <c r="F46" s="49"/>
      <c r="G46" s="48">
        <f>G11-G45</f>
        <v>1210545.13</v>
      </c>
      <c r="H46" s="21" t="s">
        <v>69</v>
      </c>
      <c r="I46" s="30">
        <f>I11-I45</f>
        <v>200600.164940367</v>
      </c>
      <c r="J46" s="6"/>
      <c r="K46" s="75"/>
      <c r="M46" s="76"/>
      <c r="N46" s="76"/>
    </row>
    <row r="47" ht="18" customHeight="1" spans="1:14">
      <c r="A47" s="48" t="s">
        <v>70</v>
      </c>
      <c r="B47" s="48">
        <f>B46-B45</f>
        <v>1021493.23559633</v>
      </c>
      <c r="C47" s="48"/>
      <c r="D47" s="50"/>
      <c r="E47" s="50"/>
      <c r="F47" s="49"/>
      <c r="G47" s="49"/>
      <c r="H47" s="51"/>
      <c r="I47" s="49"/>
      <c r="J47" s="6"/>
      <c r="K47" s="75"/>
      <c r="M47" s="76"/>
      <c r="N47" s="76"/>
    </row>
    <row r="48" ht="18" customHeight="1" spans="1:3">
      <c r="A48" s="2" t="s">
        <v>71</v>
      </c>
      <c r="C48" s="2"/>
    </row>
    <row r="49" ht="18" customHeight="1" spans="1:9">
      <c r="A49" s="21" t="s">
        <v>72</v>
      </c>
      <c r="B49" s="20" t="s">
        <v>73</v>
      </c>
      <c r="C49" s="33"/>
      <c r="D49" s="21" t="s">
        <v>72</v>
      </c>
      <c r="E49" s="19" t="s">
        <v>15</v>
      </c>
      <c r="F49" s="20" t="s">
        <v>73</v>
      </c>
      <c r="G49" s="15" t="s">
        <v>74</v>
      </c>
      <c r="H49" s="15" t="s">
        <v>75</v>
      </c>
      <c r="I49" s="23" t="s">
        <v>76</v>
      </c>
    </row>
    <row r="50" ht="18" customHeight="1" spans="1:10">
      <c r="A50" s="33" t="s">
        <v>77</v>
      </c>
      <c r="B50" s="17">
        <f>(B46-B45)*0.25</f>
        <v>255373.308899082</v>
      </c>
      <c r="C50" s="33"/>
      <c r="D50" s="28" t="s">
        <v>78</v>
      </c>
      <c r="E50" s="59" t="s">
        <v>79</v>
      </c>
      <c r="F50" s="80">
        <f>F11-F45</f>
        <v>-36553.775321101</v>
      </c>
      <c r="G50" s="80">
        <f>F7-F14-F16-F17</f>
        <v>72349.673853211</v>
      </c>
      <c r="H50" s="80">
        <f>(F8+F9)-F18-F19</f>
        <v>-52807.2311009174</v>
      </c>
      <c r="I50" s="80">
        <f>F10-F22</f>
        <v>-56096.2180733945</v>
      </c>
      <c r="J50" s="6"/>
    </row>
    <row r="51" ht="18" customHeight="1" spans="1:10">
      <c r="A51" s="33" t="s">
        <v>80</v>
      </c>
      <c r="B51" s="52" t="s">
        <v>81</v>
      </c>
      <c r="C51" s="33"/>
      <c r="D51" s="53" t="s">
        <v>82</v>
      </c>
      <c r="E51" s="13">
        <v>0.07</v>
      </c>
      <c r="F51" s="11">
        <f>F50*E51</f>
        <v>-2558.76427247707</v>
      </c>
      <c r="G51" s="11">
        <f>G50*E51</f>
        <v>5064.47716972477</v>
      </c>
      <c r="H51" s="11">
        <f>H50*E51</f>
        <v>-3696.50617706422</v>
      </c>
      <c r="I51" s="93">
        <f>I50*E51</f>
        <v>-3926.73526513761</v>
      </c>
      <c r="J51" s="6"/>
    </row>
    <row r="52" ht="18" customHeight="1" spans="1:10">
      <c r="A52" s="33" t="s">
        <v>60</v>
      </c>
      <c r="B52" s="52"/>
      <c r="C52" s="33"/>
      <c r="D52" s="53" t="s">
        <v>83</v>
      </c>
      <c r="E52" s="13">
        <v>0.03</v>
      </c>
      <c r="F52" s="11">
        <f>F50*E52</f>
        <v>-1096.61325963303</v>
      </c>
      <c r="G52" s="11">
        <f>G50*E52</f>
        <v>2170.49021559633</v>
      </c>
      <c r="H52" s="11">
        <f>H50*E52</f>
        <v>-1584.21693302752</v>
      </c>
      <c r="I52" s="93">
        <f>I50*E52</f>
        <v>-1682.88654220183</v>
      </c>
      <c r="J52" s="6"/>
    </row>
    <row r="53" ht="18" customHeight="1" spans="1:9">
      <c r="A53" s="33"/>
      <c r="B53" s="23"/>
      <c r="C53" s="33"/>
      <c r="D53" s="53" t="s">
        <v>84</v>
      </c>
      <c r="E53" s="13">
        <v>0.02</v>
      </c>
      <c r="F53" s="11">
        <f>F50*E53</f>
        <v>-731.075506422019</v>
      </c>
      <c r="G53" s="11">
        <f>G50*E53</f>
        <v>1446.99347706422</v>
      </c>
      <c r="H53" s="11">
        <f>H50*E53</f>
        <v>-1056.14462201835</v>
      </c>
      <c r="I53" s="93">
        <f>I50*E53</f>
        <v>-1121.92436146789</v>
      </c>
    </row>
    <row r="54" ht="18" customHeight="1" spans="1:9">
      <c r="A54" s="28" t="s">
        <v>85</v>
      </c>
      <c r="B54" s="29">
        <f t="shared" ref="B54:H54" si="10">SUM(B50:B53)</f>
        <v>255373.308899082</v>
      </c>
      <c r="C54" s="33"/>
      <c r="D54" s="34" t="s">
        <v>85</v>
      </c>
      <c r="E54" s="9"/>
      <c r="F54" s="80">
        <f t="shared" si="10"/>
        <v>-40940.2283596331</v>
      </c>
      <c r="G54" s="80">
        <f t="shared" si="10"/>
        <v>81031.6347155963</v>
      </c>
      <c r="H54" s="80">
        <f>SUM(H50:H53)</f>
        <v>-59144.0988330275</v>
      </c>
      <c r="I54" s="80">
        <f>SUM(I50:I53)</f>
        <v>-62827.7642422018</v>
      </c>
    </row>
    <row r="55" ht="18" customHeight="1" spans="1:10">
      <c r="A55" s="54"/>
      <c r="B55" s="85"/>
      <c r="C55" s="6"/>
      <c r="D55" s="33" t="s">
        <v>80</v>
      </c>
      <c r="E55" s="86">
        <v>0.0003</v>
      </c>
      <c r="F55" s="30">
        <f>G11*E55</f>
        <v>1229.5509</v>
      </c>
      <c r="G55" s="30">
        <v>0</v>
      </c>
      <c r="H55" s="30">
        <v>0</v>
      </c>
      <c r="I55" s="93">
        <v>0</v>
      </c>
      <c r="J55" s="94"/>
    </row>
    <row r="56" ht="18" customHeight="1" spans="1:10">
      <c r="A56" s="54"/>
      <c r="B56" s="85"/>
      <c r="C56" s="6"/>
      <c r="D56" s="33" t="s">
        <v>60</v>
      </c>
      <c r="E56" s="86">
        <v>0.0006</v>
      </c>
      <c r="F56" s="30">
        <f>B11*E56</f>
        <v>2256.05669724771</v>
      </c>
      <c r="G56" s="30">
        <f>B7*E56</f>
        <v>1252.11963302752</v>
      </c>
      <c r="H56" s="30">
        <f>(B8+B9)*E56</f>
        <v>668.097247706422</v>
      </c>
      <c r="I56" s="93">
        <v>335.84</v>
      </c>
      <c r="J56" s="94"/>
    </row>
    <row r="57" ht="18" customHeight="1" spans="3:10">
      <c r="C57" s="2"/>
      <c r="D57" s="30" t="s">
        <v>77</v>
      </c>
      <c r="E57" s="86">
        <v>0.01</v>
      </c>
      <c r="F57" s="30">
        <f>G11*E57</f>
        <v>40985.03</v>
      </c>
      <c r="G57" s="30">
        <f>G7*E57</f>
        <v>22746.84</v>
      </c>
      <c r="H57" s="30">
        <f>(G8+G9)*E57</f>
        <v>12137.1</v>
      </c>
      <c r="I57" s="93">
        <f>G10*E57</f>
        <v>6101.09</v>
      </c>
      <c r="J57" s="94"/>
    </row>
    <row r="58" ht="18" customHeight="1" spans="3:10">
      <c r="C58" s="2"/>
      <c r="D58" s="30" t="s">
        <v>86</v>
      </c>
      <c r="E58" s="86">
        <v>0.25</v>
      </c>
      <c r="F58" s="30"/>
      <c r="G58" s="30">
        <f>B47*0.25</f>
        <v>255373.308899082</v>
      </c>
      <c r="H58" s="30"/>
      <c r="I58" s="93"/>
      <c r="J58" s="94"/>
    </row>
    <row r="59" ht="18" customHeight="1" spans="3:3">
      <c r="C59" s="2"/>
    </row>
    <row r="60" ht="18" customHeight="1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15">
      <c r="C72" s="2"/>
      <c r="O72" s="6" t="s">
        <v>87</v>
      </c>
    </row>
    <row r="73" spans="3:3">
      <c r="C73" s="2"/>
    </row>
    <row r="74" spans="3:3">
      <c r="C74" s="2"/>
    </row>
    <row r="75" spans="3:3">
      <c r="C75" s="2"/>
    </row>
    <row r="76" spans="3:3">
      <c r="C76" s="2"/>
    </row>
  </sheetData>
  <autoFilter ref="A13:O5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workbookViewId="0">
      <selection activeCell="D20" sqref="D2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47.1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44050</v>
      </c>
      <c r="C2" s="11" t="s">
        <v>2</v>
      </c>
      <c r="D2" s="12">
        <v>7193109</v>
      </c>
      <c r="E2" s="13" t="s">
        <v>3</v>
      </c>
      <c r="F2" s="14" t="s">
        <v>4</v>
      </c>
      <c r="G2" s="15" t="s">
        <v>5</v>
      </c>
      <c r="H2" s="16"/>
      <c r="I2" s="56"/>
      <c r="J2" s="57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/>
      <c r="H3" s="18"/>
      <c r="I3" s="58"/>
      <c r="J3" s="18"/>
      <c r="K3" s="18"/>
      <c r="L3" s="18"/>
    </row>
    <row r="4" ht="18" customHeight="1" spans="1:12">
      <c r="A4" s="2" t="s">
        <v>8</v>
      </c>
      <c r="H4" s="18"/>
      <c r="I4" s="58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1">
      <c r="A7" s="22">
        <v>44208</v>
      </c>
      <c r="B7" s="23">
        <f t="shared" ref="B7:B8" si="0">G7/(1+C7+E7)</f>
        <v>2086866.05504587</v>
      </c>
      <c r="C7" s="24">
        <v>0.02</v>
      </c>
      <c r="D7" s="25">
        <f t="shared" ref="D7:D8" si="1">G7/(1+E7+C7)*C7</f>
        <v>41737.3211009174</v>
      </c>
      <c r="E7" s="26">
        <v>0.07</v>
      </c>
      <c r="F7" s="23">
        <f t="shared" ref="F7:F8" si="2">G7/(1+C7+E7)*E7</f>
        <v>146080.623853211</v>
      </c>
      <c r="G7" s="27">
        <v>2274684</v>
      </c>
      <c r="H7" s="22">
        <v>44215</v>
      </c>
      <c r="I7" s="23">
        <v>2274684</v>
      </c>
      <c r="J7" s="59" t="s">
        <v>43</v>
      </c>
      <c r="K7" s="6" t="s">
        <v>88</v>
      </c>
    </row>
    <row r="8" ht="18" customHeight="1" spans="1:10">
      <c r="A8" s="22">
        <v>44232</v>
      </c>
      <c r="B8" s="23">
        <f t="shared" si="0"/>
        <v>1183486.23853211</v>
      </c>
      <c r="C8" s="24">
        <v>0.02</v>
      </c>
      <c r="D8" s="25">
        <f t="shared" si="1"/>
        <v>23669.7247706422</v>
      </c>
      <c r="E8" s="26">
        <v>0.07</v>
      </c>
      <c r="F8" s="23">
        <f t="shared" si="2"/>
        <v>82844.0366972477</v>
      </c>
      <c r="G8" s="27">
        <v>1290000</v>
      </c>
      <c r="H8" s="22"/>
      <c r="I8" s="23"/>
      <c r="J8" s="59"/>
    </row>
    <row r="9" ht="18" customHeight="1" spans="1:10">
      <c r="A9" s="22"/>
      <c r="B9" s="23">
        <f t="shared" ref="B8:B10" si="3">G9/(1+C9+E9)</f>
        <v>0</v>
      </c>
      <c r="C9" s="24">
        <v>0.02</v>
      </c>
      <c r="D9" s="25">
        <f t="shared" ref="D8:D10" si="4">G9/(1+E9+C9)*C9</f>
        <v>0</v>
      </c>
      <c r="E9" s="24">
        <v>0.08</v>
      </c>
      <c r="F9" s="23">
        <f t="shared" ref="F8:F10" si="5">G9/(1+C9+E9)*E9</f>
        <v>0</v>
      </c>
      <c r="G9" s="27"/>
      <c r="H9" s="22"/>
      <c r="I9" s="23"/>
      <c r="J9" s="59"/>
    </row>
    <row r="10" ht="18" customHeight="1" spans="1:10">
      <c r="A10" s="22"/>
      <c r="B10" s="23">
        <f t="shared" si="3"/>
        <v>0</v>
      </c>
      <c r="C10" s="24">
        <v>0.02</v>
      </c>
      <c r="D10" s="25">
        <f t="shared" si="4"/>
        <v>0</v>
      </c>
      <c r="E10" s="24">
        <v>0.08</v>
      </c>
      <c r="F10" s="23">
        <f t="shared" si="5"/>
        <v>0</v>
      </c>
      <c r="G10" s="27"/>
      <c r="H10" s="22"/>
      <c r="I10" s="23"/>
      <c r="J10" s="59"/>
    </row>
    <row r="11" ht="18" customHeight="1" spans="1:10">
      <c r="A11" s="28" t="s">
        <v>21</v>
      </c>
      <c r="B11" s="29">
        <f>SUM(B7:B10)</f>
        <v>3270352.29357798</v>
      </c>
      <c r="C11" s="30"/>
      <c r="D11" s="31">
        <f t="shared" ref="D11:G11" si="6">SUM(D7:D10)</f>
        <v>65407.0458715596</v>
      </c>
      <c r="E11" s="30"/>
      <c r="F11" s="32">
        <f t="shared" si="6"/>
        <v>228924.660550459</v>
      </c>
      <c r="G11" s="31">
        <f t="shared" si="6"/>
        <v>3564684</v>
      </c>
      <c r="H11" s="33"/>
      <c r="I11" s="31">
        <f>SUM(I7:I10)</f>
        <v>2274684</v>
      </c>
      <c r="J11" s="33"/>
    </row>
    <row r="12" ht="18" customHeight="1" spans="1:12">
      <c r="A12" s="2" t="s">
        <v>22</v>
      </c>
      <c r="J12" s="4"/>
      <c r="K12" s="4"/>
      <c r="L12" s="5"/>
    </row>
    <row r="13" ht="18" customHeight="1" spans="1:15">
      <c r="A13" s="34" t="s">
        <v>23</v>
      </c>
      <c r="B13" s="20" t="s">
        <v>24</v>
      </c>
      <c r="C13" s="19" t="s">
        <v>25</v>
      </c>
      <c r="D13" s="19" t="s">
        <v>26</v>
      </c>
      <c r="E13" s="19" t="s">
        <v>15</v>
      </c>
      <c r="F13" s="20" t="s">
        <v>27</v>
      </c>
      <c r="G13" s="20" t="s">
        <v>13</v>
      </c>
      <c r="H13" s="19" t="s">
        <v>28</v>
      </c>
      <c r="I13" s="20" t="s">
        <v>29</v>
      </c>
      <c r="J13" s="19" t="s">
        <v>19</v>
      </c>
      <c r="K13" s="60" t="s">
        <v>30</v>
      </c>
      <c r="L13" s="61" t="s">
        <v>31</v>
      </c>
      <c r="M13" s="61" t="s">
        <v>32</v>
      </c>
      <c r="N13" s="61" t="s">
        <v>33</v>
      </c>
      <c r="O13" s="61" t="s">
        <v>34</v>
      </c>
    </row>
    <row r="14" s="1" customFormat="1" ht="18" customHeight="1" spans="1:15">
      <c r="A14" s="35">
        <v>44063</v>
      </c>
      <c r="B14" s="36">
        <f t="shared" ref="B14:B19" si="7">ROUND(G14/(1+E14),2)</f>
        <v>45283.02</v>
      </c>
      <c r="C14" s="37">
        <v>3</v>
      </c>
      <c r="D14" s="38" t="s">
        <v>35</v>
      </c>
      <c r="E14" s="39">
        <v>0.06</v>
      </c>
      <c r="F14" s="36">
        <f t="shared" ref="F14:F19" si="8">ROUND(G14/(1+E14)*E14,2)</f>
        <v>2716.98</v>
      </c>
      <c r="G14" s="27">
        <f>40000+4000+4000</f>
        <v>48000</v>
      </c>
      <c r="H14" s="22"/>
      <c r="I14" s="23"/>
      <c r="J14" s="62"/>
      <c r="K14" s="63" t="s">
        <v>36</v>
      </c>
      <c r="L14" s="63" t="s">
        <v>37</v>
      </c>
      <c r="M14" s="64"/>
      <c r="N14" s="64"/>
      <c r="O14" s="65"/>
    </row>
    <row r="15" s="1" customFormat="1" ht="18" customHeight="1" spans="1:15">
      <c r="A15" s="35">
        <v>44094</v>
      </c>
      <c r="B15" s="36">
        <f t="shared" si="7"/>
        <v>23900</v>
      </c>
      <c r="C15" s="37">
        <v>1</v>
      </c>
      <c r="D15" s="38" t="s">
        <v>38</v>
      </c>
      <c r="E15" s="40"/>
      <c r="F15" s="36">
        <f t="shared" si="8"/>
        <v>0</v>
      </c>
      <c r="G15" s="27">
        <v>23900</v>
      </c>
      <c r="H15" s="22"/>
      <c r="I15" s="23"/>
      <c r="J15" s="62"/>
      <c r="K15" s="63" t="s">
        <v>36</v>
      </c>
      <c r="L15" s="63" t="s">
        <v>39</v>
      </c>
      <c r="M15" s="64"/>
      <c r="N15" s="64"/>
      <c r="O15" s="65"/>
    </row>
    <row r="16" s="1" customFormat="1" ht="18" customHeight="1" spans="1:15">
      <c r="A16" s="35">
        <v>44197</v>
      </c>
      <c r="B16" s="36">
        <f t="shared" si="7"/>
        <v>191146.19</v>
      </c>
      <c r="C16" s="37">
        <v>2</v>
      </c>
      <c r="D16" s="38" t="s">
        <v>35</v>
      </c>
      <c r="E16" s="40">
        <v>0.13</v>
      </c>
      <c r="F16" s="36">
        <f t="shared" si="8"/>
        <v>24849.01</v>
      </c>
      <c r="G16" s="27">
        <f>107997.6*2</f>
        <v>215995.2</v>
      </c>
      <c r="H16" s="41"/>
      <c r="I16" s="66"/>
      <c r="J16" s="67"/>
      <c r="K16" s="63" t="s">
        <v>40</v>
      </c>
      <c r="L16" s="68" t="s">
        <v>41</v>
      </c>
      <c r="M16" s="69" t="s">
        <v>45</v>
      </c>
      <c r="N16" s="70"/>
      <c r="O16" s="71"/>
    </row>
    <row r="17" s="1" customFormat="1" ht="18" customHeight="1" spans="1:15">
      <c r="A17" s="35">
        <v>44197</v>
      </c>
      <c r="B17" s="36">
        <f t="shared" si="7"/>
        <v>355115.04</v>
      </c>
      <c r="C17" s="37">
        <v>4</v>
      </c>
      <c r="D17" s="38" t="s">
        <v>35</v>
      </c>
      <c r="E17" s="40">
        <v>0.13</v>
      </c>
      <c r="F17" s="36">
        <f t="shared" si="8"/>
        <v>46164.96</v>
      </c>
      <c r="G17" s="27">
        <f>100320*4</f>
        <v>401280</v>
      </c>
      <c r="H17" s="42">
        <v>44218</v>
      </c>
      <c r="I17" s="72">
        <v>1247392.38</v>
      </c>
      <c r="J17" s="64" t="s">
        <v>43</v>
      </c>
      <c r="K17" s="72" t="s">
        <v>40</v>
      </c>
      <c r="L17" s="65" t="s">
        <v>44</v>
      </c>
      <c r="M17" s="69" t="s">
        <v>45</v>
      </c>
      <c r="N17" s="64"/>
      <c r="O17" s="71"/>
    </row>
    <row r="18" s="1" customFormat="1" ht="18" customHeight="1" spans="1:15">
      <c r="A18" s="35">
        <v>44197</v>
      </c>
      <c r="B18" s="36">
        <f t="shared" si="7"/>
        <v>557625.82</v>
      </c>
      <c r="C18" s="37">
        <v>6</v>
      </c>
      <c r="D18" s="38" t="s">
        <v>35</v>
      </c>
      <c r="E18" s="40">
        <v>0.13</v>
      </c>
      <c r="F18" s="36">
        <f t="shared" si="8"/>
        <v>72491.36</v>
      </c>
      <c r="G18" s="27">
        <f>105019.53*6</f>
        <v>630117.18</v>
      </c>
      <c r="H18" s="22"/>
      <c r="I18" s="23"/>
      <c r="J18" s="59"/>
      <c r="K18" s="72" t="s">
        <v>40</v>
      </c>
      <c r="L18" s="65" t="s">
        <v>46</v>
      </c>
      <c r="M18" s="64"/>
      <c r="N18" s="64"/>
      <c r="O18" s="71"/>
    </row>
    <row r="19" s="1" customFormat="1" ht="18" customHeight="1" spans="1:15">
      <c r="A19" s="35">
        <v>44228</v>
      </c>
      <c r="B19" s="36">
        <f t="shared" si="7"/>
        <v>647339.45</v>
      </c>
      <c r="C19" s="37">
        <v>1</v>
      </c>
      <c r="D19" s="38" t="s">
        <v>35</v>
      </c>
      <c r="E19" s="40">
        <v>0.09</v>
      </c>
      <c r="F19" s="36">
        <f t="shared" si="8"/>
        <v>58260.55</v>
      </c>
      <c r="G19" s="27">
        <v>705600</v>
      </c>
      <c r="H19" s="42">
        <v>44230</v>
      </c>
      <c r="I19" s="17">
        <v>529200</v>
      </c>
      <c r="J19" s="64" t="s">
        <v>43</v>
      </c>
      <c r="K19" s="73" t="s">
        <v>47</v>
      </c>
      <c r="L19" s="65" t="s">
        <v>48</v>
      </c>
      <c r="M19" s="64" t="s">
        <v>49</v>
      </c>
      <c r="N19" s="64"/>
      <c r="O19" s="65"/>
    </row>
    <row r="20" s="1" customFormat="1" ht="18" customHeight="1" spans="1:15">
      <c r="A20" s="35"/>
      <c r="B20" s="17">
        <f t="shared" ref="B20:B28" si="9">ROUND(G20/(1+E20),2)</f>
        <v>0</v>
      </c>
      <c r="C20" s="37"/>
      <c r="D20" s="38"/>
      <c r="E20" s="40"/>
      <c r="F20" s="17">
        <f t="shared" ref="F20:F28" si="10">ROUND(G20/(1+E20)*E20,2)</f>
        <v>0</v>
      </c>
      <c r="G20" s="27"/>
      <c r="H20" s="43" t="s">
        <v>61</v>
      </c>
      <c r="I20" s="17">
        <v>710.091743119266</v>
      </c>
      <c r="J20" s="64" t="s">
        <v>53</v>
      </c>
      <c r="K20" s="73" t="s">
        <v>60</v>
      </c>
      <c r="L20" s="65"/>
      <c r="M20" s="64"/>
      <c r="N20" s="64"/>
      <c r="O20" s="65"/>
    </row>
    <row r="21" s="1" customFormat="1" ht="18" customHeight="1" spans="1:15">
      <c r="A21" s="35"/>
      <c r="B21" s="17">
        <f t="shared" si="9"/>
        <v>0</v>
      </c>
      <c r="C21" s="37"/>
      <c r="D21" s="38"/>
      <c r="E21" s="40"/>
      <c r="F21" s="17">
        <f t="shared" si="10"/>
        <v>0</v>
      </c>
      <c r="G21" s="27"/>
      <c r="H21" s="44" t="s">
        <v>61</v>
      </c>
      <c r="I21" s="23">
        <v>100</v>
      </c>
      <c r="J21" s="59" t="s">
        <v>53</v>
      </c>
      <c r="K21" s="73" t="s">
        <v>54</v>
      </c>
      <c r="L21" s="65"/>
      <c r="M21" s="64"/>
      <c r="N21" s="64"/>
      <c r="O21" s="65"/>
    </row>
    <row r="22" s="1" customFormat="1" ht="18" customHeight="1" spans="1:15">
      <c r="A22" s="35"/>
      <c r="B22" s="17">
        <f t="shared" si="9"/>
        <v>0</v>
      </c>
      <c r="C22" s="37"/>
      <c r="D22" s="38"/>
      <c r="E22" s="40"/>
      <c r="F22" s="17">
        <f t="shared" si="10"/>
        <v>0</v>
      </c>
      <c r="G22" s="27"/>
      <c r="H22" s="44" t="s">
        <v>61</v>
      </c>
      <c r="I22" s="23">
        <v>1500</v>
      </c>
      <c r="J22" s="59" t="s">
        <v>53</v>
      </c>
      <c r="K22" s="73" t="s">
        <v>62</v>
      </c>
      <c r="L22" s="65"/>
      <c r="M22" s="64"/>
      <c r="N22" s="64"/>
      <c r="O22" s="65"/>
    </row>
    <row r="23" s="1" customFormat="1" ht="18" customHeight="1" spans="1:15">
      <c r="A23" s="35"/>
      <c r="B23" s="17">
        <f t="shared" si="9"/>
        <v>0</v>
      </c>
      <c r="C23" s="37"/>
      <c r="D23" s="38"/>
      <c r="E23" s="40"/>
      <c r="F23" s="17">
        <f t="shared" si="10"/>
        <v>0</v>
      </c>
      <c r="G23" s="27"/>
      <c r="H23" s="44" t="s">
        <v>61</v>
      </c>
      <c r="I23" s="23">
        <v>200</v>
      </c>
      <c r="J23" s="59" t="s">
        <v>53</v>
      </c>
      <c r="K23" s="73" t="s">
        <v>54</v>
      </c>
      <c r="L23" s="65"/>
      <c r="M23" s="64"/>
      <c r="N23" s="64"/>
      <c r="O23" s="65"/>
    </row>
    <row r="24" s="1" customFormat="1" ht="18" customHeight="1" spans="1:15">
      <c r="A24" s="35"/>
      <c r="B24" s="17">
        <f t="shared" si="9"/>
        <v>0</v>
      </c>
      <c r="C24" s="37"/>
      <c r="D24" s="38"/>
      <c r="E24" s="40"/>
      <c r="F24" s="17">
        <f t="shared" si="10"/>
        <v>0</v>
      </c>
      <c r="G24" s="27"/>
      <c r="H24" s="44" t="s">
        <v>61</v>
      </c>
      <c r="I24" s="23">
        <v>341300.080711009</v>
      </c>
      <c r="J24" s="59" t="s">
        <v>63</v>
      </c>
      <c r="K24" s="73" t="s">
        <v>64</v>
      </c>
      <c r="L24" s="65"/>
      <c r="M24" s="64"/>
      <c r="N24" s="64"/>
      <c r="O24" s="65"/>
    </row>
    <row r="25" s="1" customFormat="1" ht="18" customHeight="1" spans="1:15">
      <c r="A25" s="35"/>
      <c r="B25" s="17">
        <f t="shared" si="9"/>
        <v>0</v>
      </c>
      <c r="C25" s="37"/>
      <c r="D25" s="38"/>
      <c r="E25" s="40"/>
      <c r="F25" s="17">
        <f t="shared" si="10"/>
        <v>0</v>
      </c>
      <c r="G25" s="27"/>
      <c r="H25" s="22" t="s">
        <v>61</v>
      </c>
      <c r="I25" s="23">
        <v>22746.84</v>
      </c>
      <c r="J25" s="59" t="s">
        <v>53</v>
      </c>
      <c r="K25" s="73" t="s">
        <v>65</v>
      </c>
      <c r="L25" s="65"/>
      <c r="M25" s="64"/>
      <c r="N25" s="64"/>
      <c r="O25" s="65"/>
    </row>
    <row r="26" s="1" customFormat="1" ht="18" customHeight="1" spans="1:15">
      <c r="A26" s="35"/>
      <c r="B26" s="17">
        <f t="shared" si="9"/>
        <v>0</v>
      </c>
      <c r="C26" s="37"/>
      <c r="D26" s="38"/>
      <c r="E26" s="40"/>
      <c r="F26" s="17">
        <f t="shared" si="10"/>
        <v>0</v>
      </c>
      <c r="G26" s="27"/>
      <c r="H26" s="22" t="s">
        <v>61</v>
      </c>
      <c r="I26" s="23">
        <v>1252.11963302752</v>
      </c>
      <c r="J26" s="59" t="s">
        <v>53</v>
      </c>
      <c r="K26" s="33" t="s">
        <v>66</v>
      </c>
      <c r="L26" s="65"/>
      <c r="M26" s="64"/>
      <c r="N26" s="64"/>
      <c r="O26" s="65"/>
    </row>
    <row r="27" s="1" customFormat="1" ht="18" customHeight="1" spans="1:15">
      <c r="A27" s="35"/>
      <c r="B27" s="17">
        <f t="shared" si="9"/>
        <v>0</v>
      </c>
      <c r="C27" s="37"/>
      <c r="D27" s="38"/>
      <c r="E27" s="40"/>
      <c r="F27" s="17">
        <f t="shared" si="10"/>
        <v>0</v>
      </c>
      <c r="G27" s="27"/>
      <c r="H27" s="22" t="s">
        <v>61</v>
      </c>
      <c r="I27" s="23">
        <v>81031.6347155963</v>
      </c>
      <c r="J27" s="59" t="s">
        <v>53</v>
      </c>
      <c r="K27" s="73" t="s">
        <v>67</v>
      </c>
      <c r="L27" s="65"/>
      <c r="M27" s="64"/>
      <c r="N27" s="64"/>
      <c r="O27" s="65"/>
    </row>
    <row r="28" s="1" customFormat="1" ht="18" customHeight="1" spans="1:15">
      <c r="A28" s="35"/>
      <c r="B28" s="17">
        <f t="shared" si="9"/>
        <v>22746.84</v>
      </c>
      <c r="C28" s="37"/>
      <c r="D28" s="38"/>
      <c r="E28" s="40"/>
      <c r="F28" s="17">
        <f t="shared" si="10"/>
        <v>0</v>
      </c>
      <c r="G28" s="27">
        <v>22746.84</v>
      </c>
      <c r="H28" s="22" t="s">
        <v>61</v>
      </c>
      <c r="I28" s="23">
        <f>G28</f>
        <v>22746.84</v>
      </c>
      <c r="J28" s="59" t="s">
        <v>53</v>
      </c>
      <c r="K28" s="73" t="s">
        <v>58</v>
      </c>
      <c r="L28" s="65"/>
      <c r="M28" s="64"/>
      <c r="N28" s="64"/>
      <c r="O28" s="65"/>
    </row>
    <row r="29" ht="18" customHeight="1" spans="1:15">
      <c r="A29" s="30" t="s">
        <v>21</v>
      </c>
      <c r="B29" s="29">
        <f t="shared" ref="B29:G29" si="11">SUM(B14:B28)</f>
        <v>1843156.36</v>
      </c>
      <c r="C29" s="30"/>
      <c r="D29" s="45"/>
      <c r="E29" s="45"/>
      <c r="F29" s="32">
        <f t="shared" si="11"/>
        <v>204482.86</v>
      </c>
      <c r="G29" s="46">
        <f t="shared" si="11"/>
        <v>2047639.22</v>
      </c>
      <c r="H29" s="47"/>
      <c r="I29" s="31">
        <f>SUM(I14:I28)</f>
        <v>2248179.98680275</v>
      </c>
      <c r="J29" s="74"/>
      <c r="K29" s="45"/>
      <c r="L29" s="33"/>
      <c r="M29" s="59"/>
      <c r="N29" s="59"/>
      <c r="O29" s="33"/>
    </row>
    <row r="30" ht="18" customHeight="1" spans="1:14">
      <c r="A30" s="48" t="s">
        <v>68</v>
      </c>
      <c r="B30" s="49">
        <f>B11*0.96</f>
        <v>3139538.20183486</v>
      </c>
      <c r="C30" s="48"/>
      <c r="D30" s="50"/>
      <c r="E30" s="50"/>
      <c r="F30" s="49"/>
      <c r="G30" s="49">
        <f>G11-G29</f>
        <v>1517044.78</v>
      </c>
      <c r="H30" s="21" t="s">
        <v>69</v>
      </c>
      <c r="I30" s="31">
        <f>I11-I29</f>
        <v>26504.0131972488</v>
      </c>
      <c r="J30" s="6"/>
      <c r="K30" s="75"/>
      <c r="M30" s="76"/>
      <c r="N30" s="76"/>
    </row>
    <row r="31" ht="18" customHeight="1" spans="1:14">
      <c r="A31" s="48" t="s">
        <v>70</v>
      </c>
      <c r="B31" s="49">
        <f>B30-B29</f>
        <v>1296381.84183486</v>
      </c>
      <c r="C31" s="48"/>
      <c r="D31" s="50"/>
      <c r="E31" s="50"/>
      <c r="F31" s="49"/>
      <c r="G31" s="49"/>
      <c r="H31" s="51"/>
      <c r="I31" s="49"/>
      <c r="J31" s="6"/>
      <c r="K31" s="75"/>
      <c r="M31" s="76"/>
      <c r="N31" s="76"/>
    </row>
    <row r="32" ht="18" customHeight="1" spans="1:3">
      <c r="A32" s="2" t="s">
        <v>71</v>
      </c>
      <c r="C32" s="2"/>
    </row>
    <row r="33" ht="18" customHeight="1" spans="1:8">
      <c r="A33" s="21" t="s">
        <v>72</v>
      </c>
      <c r="B33" s="20" t="s">
        <v>73</v>
      </c>
      <c r="C33" s="33"/>
      <c r="D33" s="21" t="s">
        <v>72</v>
      </c>
      <c r="E33" s="19" t="s">
        <v>15</v>
      </c>
      <c r="F33" s="20" t="s">
        <v>73</v>
      </c>
      <c r="G33" s="20" t="s">
        <v>74</v>
      </c>
      <c r="H33" s="20" t="s">
        <v>89</v>
      </c>
    </row>
    <row r="34" ht="18" customHeight="1" spans="1:8">
      <c r="A34" s="33" t="s">
        <v>77</v>
      </c>
      <c r="B34" s="17">
        <f>(B30-B29)*0.25</f>
        <v>324095.460458715</v>
      </c>
      <c r="C34" s="33"/>
      <c r="D34" s="28" t="s">
        <v>78</v>
      </c>
      <c r="E34" s="21" t="s">
        <v>79</v>
      </c>
      <c r="F34" s="32">
        <f>F11-F29</f>
        <v>24441.800550459</v>
      </c>
      <c r="G34" s="32">
        <f>F7-F14-F16-F17</f>
        <v>72349.673853211</v>
      </c>
      <c r="H34" s="32">
        <f>F8-F18-F19</f>
        <v>-47907.8733027523</v>
      </c>
    </row>
    <row r="35" ht="18" customHeight="1" spans="1:8">
      <c r="A35" s="33" t="s">
        <v>80</v>
      </c>
      <c r="B35" s="52" t="s">
        <v>81</v>
      </c>
      <c r="C35" s="33"/>
      <c r="D35" s="53" t="s">
        <v>82</v>
      </c>
      <c r="E35" s="13">
        <v>0.07</v>
      </c>
      <c r="F35" s="23">
        <f>F34*E35</f>
        <v>1710.92603853213</v>
      </c>
      <c r="G35" s="23">
        <f>G34*E35</f>
        <v>5064.47716972477</v>
      </c>
      <c r="H35" s="23"/>
    </row>
    <row r="36" ht="18" customHeight="1" spans="1:8">
      <c r="A36" s="33" t="s">
        <v>60</v>
      </c>
      <c r="B36" s="52" t="s">
        <v>81</v>
      </c>
      <c r="C36" s="33"/>
      <c r="D36" s="53" t="s">
        <v>83</v>
      </c>
      <c r="E36" s="13">
        <v>0.03</v>
      </c>
      <c r="F36" s="23">
        <f>F34*E36</f>
        <v>733.25401651377</v>
      </c>
      <c r="G36" s="23">
        <f>G34*E36</f>
        <v>2170.49021559633</v>
      </c>
      <c r="H36" s="23"/>
    </row>
    <row r="37" ht="18" customHeight="1" spans="1:8">
      <c r="A37" s="33"/>
      <c r="B37" s="23"/>
      <c r="C37" s="33"/>
      <c r="D37" s="53" t="s">
        <v>84</v>
      </c>
      <c r="E37" s="13">
        <v>0.02</v>
      </c>
      <c r="F37" s="23">
        <f>F34*E37</f>
        <v>488.83601100918</v>
      </c>
      <c r="G37" s="23">
        <f>G34*E37</f>
        <v>1446.99347706422</v>
      </c>
      <c r="H37" s="23"/>
    </row>
    <row r="38" ht="18" customHeight="1" spans="1:8">
      <c r="A38" s="28" t="s">
        <v>85</v>
      </c>
      <c r="B38" s="29">
        <f t="shared" ref="B38:G38" si="12">SUM(B34:B37)</f>
        <v>324095.460458715</v>
      </c>
      <c r="C38" s="33"/>
      <c r="D38" s="34" t="s">
        <v>85</v>
      </c>
      <c r="E38" s="28"/>
      <c r="F38" s="32">
        <f t="shared" si="12"/>
        <v>27374.8166165141</v>
      </c>
      <c r="G38" s="32">
        <f t="shared" si="12"/>
        <v>81031.6347155963</v>
      </c>
      <c r="H38" s="32"/>
    </row>
    <row r="39" ht="18" customHeight="1" spans="1:8">
      <c r="A39" s="54"/>
      <c r="B39" s="55"/>
      <c r="C39" s="6"/>
      <c r="D39" s="33" t="s">
        <v>80</v>
      </c>
      <c r="E39" s="45">
        <v>0.0003</v>
      </c>
      <c r="F39" s="31"/>
      <c r="G39" s="31" t="s">
        <v>81</v>
      </c>
      <c r="H39" s="31"/>
    </row>
    <row r="40" ht="18" customHeight="1" spans="1:8">
      <c r="A40" s="54"/>
      <c r="B40" s="55"/>
      <c r="C40" s="6"/>
      <c r="D40" s="33" t="s">
        <v>60</v>
      </c>
      <c r="E40" s="45">
        <v>0.0006</v>
      </c>
      <c r="F40" s="31">
        <f>B11*E40</f>
        <v>1962.21137614679</v>
      </c>
      <c r="G40" s="31">
        <f>B7*E40</f>
        <v>1252.11963302752</v>
      </c>
      <c r="H40" s="31">
        <f>B8*E40</f>
        <v>710.091743119266</v>
      </c>
    </row>
    <row r="41" ht="18" customHeight="1" spans="3:8">
      <c r="C41" s="2"/>
      <c r="D41" s="30" t="s">
        <v>77</v>
      </c>
      <c r="E41" s="45">
        <v>0.01</v>
      </c>
      <c r="F41" s="31">
        <f>G11*E41</f>
        <v>35646.84</v>
      </c>
      <c r="G41" s="31">
        <f>G7*E41</f>
        <v>22746.84</v>
      </c>
      <c r="H41" s="31"/>
    </row>
    <row r="42" ht="18" customHeight="1" spans="3:8">
      <c r="C42" s="2"/>
      <c r="D42" s="30" t="s">
        <v>86</v>
      </c>
      <c r="E42" s="45">
        <v>0.25</v>
      </c>
      <c r="F42" s="31"/>
      <c r="G42" s="31">
        <f>B31*0.25</f>
        <v>324095.460458715</v>
      </c>
      <c r="H42" s="31"/>
    </row>
    <row r="43" ht="18" customHeight="1" spans="3:3">
      <c r="C43" s="2"/>
    </row>
    <row r="44" ht="18" customHeight="1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15">
      <c r="C56" s="2"/>
      <c r="O56" s="6" t="s">
        <v>87</v>
      </c>
    </row>
    <row r="57" spans="3:3">
      <c r="C57" s="2"/>
    </row>
    <row r="58" spans="3:3">
      <c r="C58" s="2"/>
    </row>
    <row r="59" spans="3:3">
      <c r="C59" s="2"/>
    </row>
    <row r="60" spans="3:3">
      <c r="C6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2021-05-17T03:07:53Z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BFD8B05C400040A5B5BE9ED62CB052F0</vt:lpwstr>
  </property>
</Properties>
</file>