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" sheetId="2" r:id="rId1"/>
    <sheet name="旧" sheetId="1" r:id="rId2"/>
  </sheets>
  <definedNames>
    <definedName name="_xlnm._FilterDatabase" localSheetId="0" hidden="1">新!$A$16:$O$79</definedName>
    <definedName name="_xlnm._FilterDatabase" localSheetId="1" hidden="1">旧!$A$15:$O$72</definedName>
  </definedNames>
  <calcPr calcId="144525" concurrentCalc="0"/>
</workbook>
</file>

<file path=xl/comments1.xml><?xml version="1.0" encoding="utf-8"?>
<comments xmlns="http://schemas.openxmlformats.org/spreadsheetml/2006/main">
  <authors>
    <author>cw09</author>
    <author>qyr</author>
    <author>cw05</author>
  </authors>
  <commentList>
    <comment ref="D7" authorId="0">
      <text>
        <r>
          <rPr>
            <sz val="9"/>
            <rFont val="宋体"/>
            <charset val="134"/>
          </rPr>
          <t>cw09:
异地多缴税款 886.23元</t>
        </r>
      </text>
    </comment>
    <comment ref="K1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专票没有盖章，邮寄回去</t>
        </r>
      </text>
    </comment>
    <comment ref="A66" authorId="2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7" authorId="2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70" authorId="2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H70" authorId="0">
      <text>
        <r>
          <rPr>
            <sz val="9"/>
            <rFont val="宋体"/>
            <charset val="134"/>
          </rPr>
          <t>cw09:
异地已交</t>
        </r>
      </text>
    </comment>
    <comment ref="D71" authorId="2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D7" authorId="0">
      <text>
        <r>
          <rPr>
            <sz val="9"/>
            <rFont val="宋体"/>
            <charset val="134"/>
          </rPr>
          <t>cw09:
异地多缴税款 886.23元</t>
        </r>
      </text>
    </comment>
    <comment ref="A59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D63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H63" authorId="0">
      <text>
        <r>
          <rPr>
            <sz val="9"/>
            <rFont val="宋体"/>
            <charset val="134"/>
          </rPr>
          <t>cw09:
异地已交</t>
        </r>
      </text>
    </comment>
    <comment ref="D6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<sst xmlns="http://schemas.openxmlformats.org/spreadsheetml/2006/main" count="378" uniqueCount="113">
  <si>
    <t>2020年省级资金补助交通安全工程（S102线,G248线,S993线,S306线）</t>
  </si>
  <si>
    <t>中标日期</t>
  </si>
  <si>
    <t>中标价</t>
  </si>
  <si>
    <t>负责人</t>
  </si>
  <si>
    <t>郗登雷</t>
  </si>
  <si>
    <t>建设单位</t>
  </si>
  <si>
    <t>昆明公路局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</si>
  <si>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</si>
  <si>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</si>
  <si>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</si>
  <si>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</si>
  <si>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</si>
  <si>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</si>
  <si>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</si>
  <si>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</si>
  <si>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</si>
  <si>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</si>
  <si>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</si>
  <si>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</si>
  <si>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</si>
  <si>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</si>
  <si>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</si>
  <si>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昆明市公路局</t>
  </si>
  <si>
    <t>退业主款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</si>
  <si>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</si>
  <si>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</si>
  <si>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</si>
  <si>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</si>
  <si>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</si>
  <si>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</si>
  <si>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</si>
  <si>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</si>
  <si>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</si>
  <si>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</si>
  <si>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</si>
  <si>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</si>
  <si>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</si>
  <si>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</si>
  <si>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</si>
  <si>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昆明增荣衡器有限公司</t>
  </si>
  <si>
    <t>螺纹钢等</t>
  </si>
  <si>
    <t xml:space="preserve">2020-746# 441755.56元 </t>
  </si>
  <si>
    <t>缺发货单</t>
  </si>
  <si>
    <t>昆明市落水洞矿业有限公司</t>
  </si>
  <si>
    <t>公分石</t>
  </si>
  <si>
    <t>2020-742# 679980元</t>
  </si>
  <si>
    <t xml:space="preserve"> </t>
  </si>
  <si>
    <t>重庆致兴石化集团有限公司</t>
  </si>
  <si>
    <t>石油沥青</t>
  </si>
  <si>
    <t>2020-747# 1517000元</t>
  </si>
  <si>
    <t>运杂费</t>
  </si>
  <si>
    <t xml:space="preserve">普 </t>
  </si>
  <si>
    <t>嵩明嵩阳富华机械租赁部</t>
  </si>
  <si>
    <t>旅游专线机械租赁</t>
  </si>
  <si>
    <t>2020-781# 2070000元</t>
  </si>
  <si>
    <t>缺机械租赁清单</t>
  </si>
  <si>
    <t>昆明公路局机械化养护和应急中心</t>
  </si>
  <si>
    <t>沥青混混凝土</t>
  </si>
  <si>
    <t>缺合同</t>
  </si>
  <si>
    <t>玉溪安林建筑劳务分包服务部</t>
  </si>
  <si>
    <t>劳务费</t>
  </si>
  <si>
    <t>2020-811# 2954905元</t>
  </si>
  <si>
    <t>工资表金额与发票金额不一致</t>
  </si>
  <si>
    <t>机械租赁费</t>
  </si>
  <si>
    <t>砂石</t>
  </si>
  <si>
    <t>旅游专线钢材采购</t>
  </si>
  <si>
    <t>沥青采购</t>
  </si>
  <si>
    <t>农民工工资</t>
  </si>
  <si>
    <t>劳务</t>
  </si>
  <si>
    <t>机械</t>
  </si>
  <si>
    <t>沥青</t>
  </si>
  <si>
    <t>云南霍倾商贸有限公司</t>
  </si>
  <si>
    <t>波形护栏</t>
  </si>
  <si>
    <t>扣</t>
  </si>
  <si>
    <t>财务手续费</t>
  </si>
  <si>
    <t>退</t>
  </si>
  <si>
    <t>2020.11月异地未预缴增值税及附加，2020.12月异地未预缴增值税及附加</t>
  </si>
  <si>
    <t>2020.12月异地未预缴增值税及附加</t>
  </si>
  <si>
    <t>前期暂扣企税（部分）</t>
  </si>
  <si>
    <t>管理费</t>
  </si>
  <si>
    <t>企税1%（补扣）</t>
  </si>
  <si>
    <t>印花水利（2020.12月开票扣税）</t>
  </si>
  <si>
    <t>增值税及附加（2020.12月开票扣税）</t>
  </si>
  <si>
    <t>管理费1%（按合同价全扣）</t>
  </si>
  <si>
    <t>暂扣</t>
  </si>
  <si>
    <t>企税（成本不够暂扣）</t>
  </si>
  <si>
    <t>企税1%（按合同价全扣）</t>
  </si>
  <si>
    <t>2020.11月异地未预缴增值税及附加</t>
  </si>
  <si>
    <t>印花水利（2020.11月开票扣税）</t>
  </si>
  <si>
    <t>2020-11-</t>
  </si>
  <si>
    <t>增值税及附加</t>
  </si>
  <si>
    <t>应提供成本</t>
  </si>
  <si>
    <t>可支付金额</t>
  </si>
  <si>
    <t>尚需提供成本</t>
  </si>
  <si>
    <t>公司代缴税金：</t>
  </si>
  <si>
    <t>税种</t>
  </si>
  <si>
    <t>税额</t>
  </si>
  <si>
    <t>2020.11月开票扣税</t>
  </si>
  <si>
    <t>2020.12月开票预缴增值税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</si>
  <si>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</si>
  <si>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</si>
  <si>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</si>
  <si>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</si>
  <si>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</si>
  <si>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</si>
  <si>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</si>
  <si>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</si>
  <si>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</si>
  <si>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成本不够暂扣企税</t>
  </si>
  <si>
    <t>异地未预缴税金：</t>
  </si>
  <si>
    <t>异地预缴税金（11月）</t>
  </si>
  <si>
    <t>异地预缴税金（12月）</t>
  </si>
  <si>
    <t>原发票对方已作废，已退给王敏。缺发货单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</si>
</sst>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/m/d;@"/>
    <numFmt numFmtId="178" formatCode="0.00_ "/>
    <numFmt numFmtId="179" formatCode="#,##0.00_ "/>
    <numFmt numFmtId="180" formatCode="yyyy&quot;年&quot;m&quot;月&quot;;@"/>
    <numFmt numFmtId="181" formatCode="#,##0_ "/>
    <numFmt numFmtId="182" formatCode="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0">
      <protection locked="0"/>
    </xf>
  </cellStyleXfs>
  <cellXfs count="126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3" xfId="0" applyNumberFormat="1" applyFont="1" applyBorder="1" applyAlignment="1">
      <alignment vertical="center"/>
    </xf>
    <xf numFmtId="43" fontId="4" fillId="0" borderId="2" xfId="8" applyFont="1" applyBorder="1" applyAlignment="1">
      <alignment vertical="center"/>
    </xf>
    <xf numFmtId="179" fontId="2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8" fontId="1" fillId="0" borderId="2" xfId="0" applyNumberFormat="1" applyFont="1" applyBorder="1" applyAlignment="1">
      <alignment vertical="center"/>
    </xf>
    <xf numFmtId="17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1" fillId="2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80" fontId="7" fillId="3" borderId="2" xfId="0" applyNumberFormat="1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vertical="center"/>
    </xf>
    <xf numFmtId="181" fontId="7" fillId="3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9" fontId="7" fillId="3" borderId="2" xfId="11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80" fontId="7" fillId="0" borderId="2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vertical="center"/>
    </xf>
    <xf numFmtId="181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9" fontId="7" fillId="5" borderId="2" xfId="11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vertical="center"/>
    </xf>
    <xf numFmtId="9" fontId="1" fillId="5" borderId="2" xfId="1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8" fontId="6" fillId="4" borderId="3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vertical="center"/>
    </xf>
    <xf numFmtId="178" fontId="6" fillId="4" borderId="5" xfId="0" applyNumberFormat="1" applyFont="1" applyFill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8" fontId="6" fillId="3" borderId="0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8" fontId="6" fillId="0" borderId="3" xfId="0" applyNumberFormat="1" applyFont="1" applyFill="1" applyBorder="1" applyAlignment="1">
      <alignment vertical="center"/>
    </xf>
    <xf numFmtId="178" fontId="6" fillId="0" borderId="5" xfId="0" applyNumberFormat="1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178" fontId="6" fillId="0" borderId="6" xfId="0" applyNumberFormat="1" applyFont="1" applyFill="1" applyBorder="1" applyAlignment="1">
      <alignment vertical="center"/>
    </xf>
    <xf numFmtId="177" fontId="3" fillId="0" borderId="0" xfId="0" applyNumberFormat="1" applyFont="1" applyBorder="1" applyAlignment="1">
      <alignment horizontal="left" vertical="center"/>
    </xf>
    <xf numFmtId="178" fontId="2" fillId="0" borderId="7" xfId="0" applyNumberFormat="1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horizontal="left"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182" fontId="1" fillId="0" borderId="2" xfId="0" applyNumberFormat="1" applyFont="1" applyFill="1" applyBorder="1" applyAlignment="1" applyProtection="1">
      <alignment horizontal="left" vertical="center" wrapText="1"/>
    </xf>
    <xf numFmtId="177" fontId="1" fillId="0" borderId="2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178" fontId="1" fillId="0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180" fontId="2" fillId="6" borderId="2" xfId="0" applyNumberFormat="1" applyFont="1" applyFill="1" applyBorder="1" applyAlignment="1">
      <alignment horizontal="center" vertical="center"/>
    </xf>
    <xf numFmtId="179" fontId="2" fillId="6" borderId="2" xfId="0" applyNumberFormat="1" applyFont="1" applyFill="1" applyBorder="1" applyAlignment="1">
      <alignment vertical="center"/>
    </xf>
    <xf numFmtId="181" fontId="2" fillId="6" borderId="2" xfId="0" applyNumberFormat="1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center" vertical="center"/>
    </xf>
    <xf numFmtId="9" fontId="2" fillId="6" borderId="2" xfId="11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vertical="center"/>
    </xf>
    <xf numFmtId="179" fontId="7" fillId="0" borderId="2" xfId="0" applyNumberFormat="1" applyFont="1" applyBorder="1" applyAlignment="1">
      <alignment vertical="center"/>
    </xf>
    <xf numFmtId="179" fontId="7" fillId="2" borderId="2" xfId="0" applyNumberFormat="1" applyFont="1" applyFill="1" applyBorder="1" applyAlignment="1">
      <alignment vertical="center"/>
    </xf>
    <xf numFmtId="179" fontId="6" fillId="0" borderId="3" xfId="0" applyNumberFormat="1" applyFont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179" fontId="1" fillId="3" borderId="2" xfId="0" applyNumberFormat="1" applyFont="1" applyFill="1" applyBorder="1" applyAlignment="1">
      <alignment vertical="center"/>
    </xf>
    <xf numFmtId="179" fontId="2" fillId="3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180975</xdr:colOff>
      <xdr:row>22</xdr:row>
      <xdr:rowOff>93980</xdr:rowOff>
    </xdr:from>
    <xdr:to>
      <xdr:col>15</xdr:col>
      <xdr:colOff>367665</xdr:colOff>
      <xdr:row>22</xdr:row>
      <xdr:rowOff>172720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516475" y="5173345"/>
          <a:ext cx="186690" cy="787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180975</xdr:colOff>
      <xdr:row>21</xdr:row>
      <xdr:rowOff>93980</xdr:rowOff>
    </xdr:from>
    <xdr:to>
      <xdr:col>15</xdr:col>
      <xdr:colOff>367665</xdr:colOff>
      <xdr:row>21</xdr:row>
      <xdr:rowOff>172720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935575" y="4944745"/>
          <a:ext cx="186690" cy="7874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"/>
  <sheetViews>
    <sheetView tabSelected="1" topLeftCell="A43" workbookViewId="0">
      <selection activeCell="K61" sqref="K6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8.125" style="3" customWidth="1"/>
    <col min="8" max="8" width="15.875" style="4" customWidth="1"/>
    <col min="9" max="9" width="13.875" style="3" customWidth="1"/>
    <col min="10" max="10" width="6.125" style="5" customWidth="1"/>
    <col min="11" max="11" width="31.5" style="6" customWidth="1"/>
    <col min="12" max="12" width="18.125" style="7" customWidth="1"/>
    <col min="13" max="13" width="27.875" style="6" customWidth="1"/>
    <col min="14" max="14" width="5.625" style="6" customWidth="1"/>
    <col min="15" max="15" width="28" style="6" customWidth="1"/>
    <col min="16" max="16384" width="9" style="6"/>
  </cols>
  <sheetData>
    <row r="1" ht="21.95" customHeight="1" spans="1:12">
      <c r="A1" s="8" t="s">
        <v>0</v>
      </c>
      <c r="B1" s="8"/>
      <c r="C1" s="8"/>
      <c r="D1" s="9"/>
      <c r="E1" s="8"/>
      <c r="F1" s="10"/>
      <c r="G1" s="10"/>
      <c r="H1" s="8"/>
      <c r="I1" s="10"/>
      <c r="J1" s="8"/>
      <c r="K1" s="9"/>
      <c r="L1" s="76"/>
    </row>
    <row r="2" ht="18" customHeight="1" spans="1:12">
      <c r="A2" s="11" t="s">
        <v>1</v>
      </c>
      <c r="B2" s="12">
        <v>44040</v>
      </c>
      <c r="C2" s="13" t="s">
        <v>2</v>
      </c>
      <c r="D2" s="14">
        <v>10074033</v>
      </c>
      <c r="E2" s="15" t="s">
        <v>3</v>
      </c>
      <c r="F2" s="16" t="s">
        <v>4</v>
      </c>
      <c r="G2" s="17" t="s">
        <v>5</v>
      </c>
      <c r="H2" s="18" t="s">
        <v>6</v>
      </c>
      <c r="I2" s="77"/>
      <c r="J2" s="78"/>
      <c r="K2" s="9"/>
      <c r="L2" s="76"/>
    </row>
    <row r="3" ht="18" customHeight="1" spans="1:12">
      <c r="A3" s="11" t="s">
        <v>7</v>
      </c>
      <c r="B3" s="19"/>
      <c r="C3" s="13" t="s">
        <v>8</v>
      </c>
      <c r="D3" s="14">
        <v>11133974.1</v>
      </c>
      <c r="F3" s="3">
        <f>D3-D2</f>
        <v>1059941.1</v>
      </c>
      <c r="H3" s="9"/>
      <c r="I3" s="79"/>
      <c r="J3" s="9"/>
      <c r="K3" s="9"/>
      <c r="L3" s="76"/>
    </row>
    <row r="4" ht="18" customHeight="1" spans="1:12">
      <c r="A4" s="2" t="s">
        <v>9</v>
      </c>
      <c r="H4" s="9"/>
      <c r="I4" s="79"/>
      <c r="J4" s="9"/>
      <c r="K4" s="9"/>
      <c r="L4" s="76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44158</v>
      </c>
      <c r="B7" s="102">
        <f t="shared" ref="B7:B10" si="0">G7/(1+C7+E7)</f>
        <v>2845597.02752294</v>
      </c>
      <c r="C7" s="25">
        <v>0.02</v>
      </c>
      <c r="D7" s="102">
        <f>G7/(1+E7+C7)*C7+886.23</f>
        <v>57798.1705504587</v>
      </c>
      <c r="E7" s="26">
        <v>0.07</v>
      </c>
      <c r="F7" s="102">
        <f t="shared" ref="F7:F10" si="1">G7/(1+C7+E7)*E7</f>
        <v>199191.791926606</v>
      </c>
      <c r="G7" s="103">
        <v>3101700.76</v>
      </c>
      <c r="H7" s="28">
        <v>44158</v>
      </c>
      <c r="I7" s="99">
        <v>3101700.76</v>
      </c>
      <c r="J7" s="22" t="s">
        <v>21</v>
      </c>
    </row>
    <row r="8" ht="18" customHeight="1" spans="1:10">
      <c r="A8" s="28">
        <v>44188</v>
      </c>
      <c r="B8" s="102">
        <f t="shared" si="0"/>
        <v>5934523.47706422</v>
      </c>
      <c r="C8" s="25">
        <v>0.02</v>
      </c>
      <c r="D8" s="102">
        <f t="shared" ref="D8:D10" si="2">G8/(1+E8+C8)*C8</f>
        <v>118690.469541284</v>
      </c>
      <c r="E8" s="26">
        <v>0.07</v>
      </c>
      <c r="F8" s="102">
        <f t="shared" si="1"/>
        <v>415416.643394495</v>
      </c>
      <c r="G8" s="103">
        <v>6468630.59</v>
      </c>
      <c r="H8" s="28">
        <v>44159</v>
      </c>
      <c r="I8" s="99">
        <v>6972332.24</v>
      </c>
      <c r="J8" s="22" t="s">
        <v>21</v>
      </c>
    </row>
    <row r="9" ht="18" customHeight="1" spans="1:12">
      <c r="A9" s="28">
        <v>44190</v>
      </c>
      <c r="B9" s="102">
        <f t="shared" si="0"/>
        <v>462111.605504587</v>
      </c>
      <c r="C9" s="25">
        <v>0.02</v>
      </c>
      <c r="D9" s="102">
        <f t="shared" si="2"/>
        <v>9242.23211009174</v>
      </c>
      <c r="E9" s="26">
        <v>0.07</v>
      </c>
      <c r="F9" s="102">
        <f t="shared" si="1"/>
        <v>32347.8123853211</v>
      </c>
      <c r="G9" s="103">
        <v>503701.65</v>
      </c>
      <c r="H9" s="28">
        <v>44192</v>
      </c>
      <c r="I9" s="112">
        <v>-6972332.24</v>
      </c>
      <c r="J9" s="22" t="s">
        <v>21</v>
      </c>
      <c r="K9" s="80" t="s">
        <v>22</v>
      </c>
      <c r="L9" s="7" t="s">
        <v>23</v>
      </c>
    </row>
    <row r="10" ht="18" customHeight="1" spans="1:10">
      <c r="A10" s="28">
        <v>44190</v>
      </c>
      <c r="B10" s="99">
        <f t="shared" si="0"/>
        <v>972423.027522936</v>
      </c>
      <c r="C10" s="25">
        <v>0.02</v>
      </c>
      <c r="D10" s="102">
        <f t="shared" si="2"/>
        <v>19448.4605504587</v>
      </c>
      <c r="E10" s="26">
        <v>0.07</v>
      </c>
      <c r="F10" s="99">
        <f t="shared" si="1"/>
        <v>68069.6119266055</v>
      </c>
      <c r="G10" s="103">
        <v>1059941.1</v>
      </c>
      <c r="H10" s="28">
        <v>44190</v>
      </c>
      <c r="I10" s="99">
        <v>4800415.2</v>
      </c>
      <c r="J10" s="22" t="s">
        <v>21</v>
      </c>
    </row>
    <row r="11" ht="18" customHeight="1" spans="1:10">
      <c r="A11" s="28"/>
      <c r="B11" s="99"/>
      <c r="C11" s="25"/>
      <c r="D11" s="102"/>
      <c r="E11" s="26"/>
      <c r="F11" s="99"/>
      <c r="G11" s="103"/>
      <c r="H11" s="28">
        <v>44190</v>
      </c>
      <c r="I11" s="99">
        <v>1059941.1</v>
      </c>
      <c r="J11" s="22" t="s">
        <v>21</v>
      </c>
    </row>
    <row r="12" ht="18" customHeight="1" spans="1:12">
      <c r="A12" s="28"/>
      <c r="B12" s="99"/>
      <c r="C12" s="25"/>
      <c r="D12" s="102"/>
      <c r="E12" s="26"/>
      <c r="F12" s="99"/>
      <c r="G12" s="103"/>
      <c r="H12" s="28">
        <v>44561</v>
      </c>
      <c r="I12" s="99">
        <v>-1059941.1</v>
      </c>
      <c r="J12" s="22" t="s">
        <v>21</v>
      </c>
      <c r="K12" s="80" t="s">
        <v>22</v>
      </c>
      <c r="L12" s="7" t="s">
        <v>23</v>
      </c>
    </row>
    <row r="13" ht="18" customHeight="1" spans="1:11">
      <c r="A13" s="28"/>
      <c r="B13" s="99"/>
      <c r="C13" s="25"/>
      <c r="D13" s="102"/>
      <c r="E13" s="26"/>
      <c r="F13" s="99"/>
      <c r="G13" s="103"/>
      <c r="H13" s="28">
        <v>44438</v>
      </c>
      <c r="I13" s="99">
        <v>1837153.64</v>
      </c>
      <c r="J13" s="22" t="s">
        <v>21</v>
      </c>
      <c r="K13" s="80"/>
    </row>
    <row r="14" ht="18" customHeight="1" spans="1:10">
      <c r="A14" s="30" t="s">
        <v>24</v>
      </c>
      <c r="B14" s="104">
        <f>SUM(B7:B10)</f>
        <v>10214655.1376147</v>
      </c>
      <c r="C14" s="32"/>
      <c r="D14" s="32">
        <f>SUM(D7:D10)</f>
        <v>205179.332752293</v>
      </c>
      <c r="E14" s="32"/>
      <c r="F14" s="105">
        <f>SUM(F7:F10)</f>
        <v>715025.859633028</v>
      </c>
      <c r="G14" s="32">
        <f>SUM(G7:G10)</f>
        <v>11133974.1</v>
      </c>
      <c r="H14" s="35"/>
      <c r="I14" s="32">
        <f>SUM(I7:I13)</f>
        <v>9739269.6</v>
      </c>
      <c r="J14" s="22"/>
    </row>
    <row r="15" ht="18" customHeight="1" spans="1:12">
      <c r="A15" s="2" t="s">
        <v>25</v>
      </c>
      <c r="J15" s="4"/>
      <c r="K15" s="4"/>
      <c r="L15" s="81"/>
    </row>
    <row r="16" ht="18" customHeight="1" spans="1:15">
      <c r="A16" s="36" t="s">
        <v>26</v>
      </c>
      <c r="B16" s="21" t="s">
        <v>27</v>
      </c>
      <c r="C16" s="20" t="s">
        <v>28</v>
      </c>
      <c r="D16" s="20" t="s">
        <v>29</v>
      </c>
      <c r="E16" s="20" t="s">
        <v>16</v>
      </c>
      <c r="F16" s="21" t="s">
        <v>30</v>
      </c>
      <c r="G16" s="21" t="s">
        <v>14</v>
      </c>
      <c r="H16" s="20" t="s">
        <v>31</v>
      </c>
      <c r="I16" s="21" t="s">
        <v>32</v>
      </c>
      <c r="J16" s="20" t="s">
        <v>20</v>
      </c>
      <c r="K16" s="82" t="s">
        <v>33</v>
      </c>
      <c r="L16" s="83" t="s">
        <v>34</v>
      </c>
      <c r="M16" s="22" t="s">
        <v>35</v>
      </c>
      <c r="N16" s="22" t="s">
        <v>36</v>
      </c>
      <c r="O16" s="22" t="s">
        <v>37</v>
      </c>
    </row>
    <row r="17" s="1" customFormat="1" ht="18" customHeight="1" spans="1:15">
      <c r="A17" s="106">
        <v>44166</v>
      </c>
      <c r="B17" s="107">
        <f t="shared" ref="B17:B33" si="3">ROUND(G17/(1+E17),2)</f>
        <v>177402.65</v>
      </c>
      <c r="C17" s="108">
        <v>1</v>
      </c>
      <c r="D17" s="109" t="s">
        <v>38</v>
      </c>
      <c r="E17" s="110">
        <v>0.13</v>
      </c>
      <c r="F17" s="107">
        <f t="shared" ref="F17:F33" si="4">ROUND(G17/(1+E17)*E17,2)</f>
        <v>23062.35</v>
      </c>
      <c r="G17" s="107">
        <v>200465</v>
      </c>
      <c r="H17" s="111"/>
      <c r="I17" s="107"/>
      <c r="J17" s="116"/>
      <c r="K17" s="117" t="s">
        <v>39</v>
      </c>
      <c r="L17" s="118" t="s">
        <v>40</v>
      </c>
      <c r="M17" s="119" t="s">
        <v>41</v>
      </c>
      <c r="N17" s="120"/>
      <c r="O17" s="35" t="s">
        <v>42</v>
      </c>
    </row>
    <row r="18" s="1" customFormat="1" ht="18" customHeight="1" spans="1:15">
      <c r="A18" s="42">
        <v>44166</v>
      </c>
      <c r="B18" s="112">
        <f t="shared" si="3"/>
        <v>660174.76</v>
      </c>
      <c r="C18" s="43">
        <v>8</v>
      </c>
      <c r="D18" s="44" t="s">
        <v>38</v>
      </c>
      <c r="E18" s="45">
        <v>0.03</v>
      </c>
      <c r="F18" s="112">
        <f t="shared" si="4"/>
        <v>19805.24</v>
      </c>
      <c r="G18" s="103">
        <f>100000*6+43980+36000</f>
        <v>679980</v>
      </c>
      <c r="H18" s="28"/>
      <c r="I18" s="99"/>
      <c r="J18" s="89"/>
      <c r="K18" s="90" t="s">
        <v>43</v>
      </c>
      <c r="L18" s="86" t="s">
        <v>44</v>
      </c>
      <c r="M18" s="121" t="s">
        <v>45</v>
      </c>
      <c r="N18" s="84"/>
      <c r="O18" s="88" t="s">
        <v>46</v>
      </c>
    </row>
    <row r="19" s="1" customFormat="1" ht="18" customHeight="1" spans="1:15">
      <c r="A19" s="42">
        <v>44185</v>
      </c>
      <c r="B19" s="112">
        <f t="shared" si="3"/>
        <v>1136205.31</v>
      </c>
      <c r="C19" s="43">
        <v>7</v>
      </c>
      <c r="D19" s="44" t="s">
        <v>38</v>
      </c>
      <c r="E19" s="45">
        <v>0.13</v>
      </c>
      <c r="F19" s="112">
        <f t="shared" si="4"/>
        <v>147706.69</v>
      </c>
      <c r="G19" s="103">
        <f>112700*6+112154+112877.1+112877.1+112877.1+112877.1+38981.95+5067.65</f>
        <v>1283912</v>
      </c>
      <c r="H19" s="28"/>
      <c r="I19" s="99"/>
      <c r="J19" s="89"/>
      <c r="K19" s="90" t="s">
        <v>47</v>
      </c>
      <c r="L19" s="86" t="s">
        <v>48</v>
      </c>
      <c r="M19" s="121" t="s">
        <v>49</v>
      </c>
      <c r="N19" s="84"/>
      <c r="O19" s="88"/>
    </row>
    <row r="20" s="1" customFormat="1" ht="18" customHeight="1" spans="1:15">
      <c r="A20" s="42">
        <v>44185</v>
      </c>
      <c r="B20" s="112">
        <f t="shared" si="3"/>
        <v>213842.2</v>
      </c>
      <c r="C20" s="43">
        <v>3</v>
      </c>
      <c r="D20" s="44" t="s">
        <v>38</v>
      </c>
      <c r="E20" s="45">
        <v>0.09</v>
      </c>
      <c r="F20" s="112">
        <f t="shared" si="4"/>
        <v>19245.8</v>
      </c>
      <c r="G20" s="103">
        <f>55045.87+4954.13+86544+86544</f>
        <v>233088</v>
      </c>
      <c r="H20" s="28"/>
      <c r="I20" s="99"/>
      <c r="J20" s="89"/>
      <c r="K20" s="90" t="s">
        <v>47</v>
      </c>
      <c r="L20" s="86" t="s">
        <v>50</v>
      </c>
      <c r="M20" s="121" t="s">
        <v>49</v>
      </c>
      <c r="N20" s="84"/>
      <c r="O20" s="88"/>
    </row>
    <row r="21" s="1" customFormat="1" ht="18" customHeight="1" spans="1:15">
      <c r="A21" s="46">
        <v>44166</v>
      </c>
      <c r="B21" s="113">
        <f t="shared" si="3"/>
        <v>1000000</v>
      </c>
      <c r="C21" s="48">
        <v>10</v>
      </c>
      <c r="D21" s="49" t="s">
        <v>51</v>
      </c>
      <c r="E21" s="50"/>
      <c r="F21" s="113">
        <f t="shared" si="4"/>
        <v>0</v>
      </c>
      <c r="G21" s="114">
        <f>100000*10</f>
        <v>1000000</v>
      </c>
      <c r="H21" s="28"/>
      <c r="I21" s="99"/>
      <c r="J21" s="89"/>
      <c r="K21" s="90" t="s">
        <v>52</v>
      </c>
      <c r="L21" s="91" t="s">
        <v>53</v>
      </c>
      <c r="M21" s="121" t="s">
        <v>54</v>
      </c>
      <c r="N21" s="84"/>
      <c r="O21" s="88" t="s">
        <v>55</v>
      </c>
    </row>
    <row r="22" s="1" customFormat="1" ht="18" customHeight="1" spans="1:15">
      <c r="A22" s="46">
        <v>44166</v>
      </c>
      <c r="B22" s="113">
        <f t="shared" si="3"/>
        <v>1487038.62</v>
      </c>
      <c r="C22" s="48">
        <v>2</v>
      </c>
      <c r="D22" s="49" t="s">
        <v>38</v>
      </c>
      <c r="E22" s="50">
        <v>0.13</v>
      </c>
      <c r="F22" s="113">
        <f t="shared" si="4"/>
        <v>193315.02</v>
      </c>
      <c r="G22" s="114">
        <f>1000000+680353.64</f>
        <v>1680353.64</v>
      </c>
      <c r="H22" s="28"/>
      <c r="I22" s="99"/>
      <c r="J22" s="89"/>
      <c r="K22" s="90" t="s">
        <v>56</v>
      </c>
      <c r="L22" s="86" t="s">
        <v>57</v>
      </c>
      <c r="M22" s="35"/>
      <c r="N22" s="84"/>
      <c r="O22" s="88" t="s">
        <v>58</v>
      </c>
    </row>
    <row r="23" s="1" customFormat="1" ht="18" customHeight="1" spans="1:15">
      <c r="A23" s="42">
        <v>44166</v>
      </c>
      <c r="B23" s="112">
        <f t="shared" si="3"/>
        <v>2925648.51</v>
      </c>
      <c r="C23" s="43">
        <v>23</v>
      </c>
      <c r="D23" s="44" t="s">
        <v>38</v>
      </c>
      <c r="E23" s="45">
        <v>0.01</v>
      </c>
      <c r="F23" s="112">
        <f t="shared" si="4"/>
        <v>29256.49</v>
      </c>
      <c r="G23" s="103">
        <f>100990*23+100000*6+32135</f>
        <v>2954905</v>
      </c>
      <c r="H23" s="28"/>
      <c r="I23" s="99"/>
      <c r="J23" s="89"/>
      <c r="K23" s="90" t="s">
        <v>59</v>
      </c>
      <c r="L23" s="86" t="s">
        <v>60</v>
      </c>
      <c r="M23" s="121" t="s">
        <v>61</v>
      </c>
      <c r="N23" s="84"/>
      <c r="O23" s="88" t="s">
        <v>62</v>
      </c>
    </row>
    <row r="24" s="1" customFormat="1" ht="18" customHeight="1" spans="1:15">
      <c r="A24" s="46">
        <v>44166</v>
      </c>
      <c r="B24" s="113">
        <f t="shared" si="3"/>
        <v>1070000</v>
      </c>
      <c r="C24" s="48">
        <v>11</v>
      </c>
      <c r="D24" s="49" t="s">
        <v>51</v>
      </c>
      <c r="E24" s="50"/>
      <c r="F24" s="113">
        <f t="shared" si="4"/>
        <v>0</v>
      </c>
      <c r="G24" s="114">
        <f>10*100000+70000</f>
        <v>1070000</v>
      </c>
      <c r="H24" s="28"/>
      <c r="I24" s="99"/>
      <c r="J24" s="89"/>
      <c r="K24" s="90" t="s">
        <v>52</v>
      </c>
      <c r="L24" s="86" t="s">
        <v>63</v>
      </c>
      <c r="M24" s="121" t="s">
        <v>54</v>
      </c>
      <c r="N24" s="84"/>
      <c r="O24" s="88" t="s">
        <v>55</v>
      </c>
    </row>
    <row r="25" s="1" customFormat="1" ht="18" customHeight="1" spans="1:15">
      <c r="A25" s="42"/>
      <c r="B25" s="112">
        <f t="shared" si="3"/>
        <v>0</v>
      </c>
      <c r="C25" s="43"/>
      <c r="D25" s="44"/>
      <c r="E25" s="52"/>
      <c r="F25" s="112">
        <f t="shared" si="4"/>
        <v>0</v>
      </c>
      <c r="G25" s="103"/>
      <c r="H25" s="23">
        <v>44186</v>
      </c>
      <c r="I25" s="112">
        <v>100000</v>
      </c>
      <c r="J25" s="84" t="s">
        <v>21</v>
      </c>
      <c r="K25" s="90" t="s">
        <v>43</v>
      </c>
      <c r="L25" s="91" t="s">
        <v>64</v>
      </c>
      <c r="M25" s="89"/>
      <c r="N25" s="84"/>
      <c r="O25" s="88"/>
    </row>
    <row r="26" s="1" customFormat="1" ht="18" customHeight="1" spans="1:15">
      <c r="A26" s="42"/>
      <c r="B26" s="112">
        <f t="shared" si="3"/>
        <v>0</v>
      </c>
      <c r="C26" s="43"/>
      <c r="D26" s="44"/>
      <c r="E26" s="52"/>
      <c r="F26" s="112">
        <f t="shared" si="4"/>
        <v>0</v>
      </c>
      <c r="G26" s="103"/>
      <c r="H26" s="23">
        <v>44186</v>
      </c>
      <c r="I26" s="112">
        <v>100000</v>
      </c>
      <c r="J26" s="84" t="s">
        <v>21</v>
      </c>
      <c r="K26" s="90" t="s">
        <v>39</v>
      </c>
      <c r="L26" s="91" t="s">
        <v>65</v>
      </c>
      <c r="M26" s="89"/>
      <c r="N26" s="84"/>
      <c r="O26" s="88"/>
    </row>
    <row r="27" s="1" customFormat="1" ht="18" customHeight="1" spans="1:15">
      <c r="A27" s="42"/>
      <c r="B27" s="112">
        <f t="shared" si="3"/>
        <v>0</v>
      </c>
      <c r="C27" s="43"/>
      <c r="D27" s="44"/>
      <c r="E27" s="52"/>
      <c r="F27" s="112">
        <f t="shared" si="4"/>
        <v>0</v>
      </c>
      <c r="G27" s="103"/>
      <c r="H27" s="23">
        <v>44186</v>
      </c>
      <c r="I27" s="112">
        <v>500000</v>
      </c>
      <c r="J27" s="84" t="s">
        <v>21</v>
      </c>
      <c r="K27" s="90" t="s">
        <v>52</v>
      </c>
      <c r="L27" s="91" t="s">
        <v>53</v>
      </c>
      <c r="M27" s="89"/>
      <c r="N27" s="84"/>
      <c r="O27" s="88"/>
    </row>
    <row r="28" s="1" customFormat="1" ht="18" customHeight="1" spans="1:15">
      <c r="A28" s="42"/>
      <c r="B28" s="112">
        <f t="shared" si="3"/>
        <v>0</v>
      </c>
      <c r="C28" s="43"/>
      <c r="D28" s="44"/>
      <c r="E28" s="52"/>
      <c r="F28" s="112">
        <f t="shared" si="4"/>
        <v>0</v>
      </c>
      <c r="G28" s="103"/>
      <c r="H28" s="23">
        <v>44186</v>
      </c>
      <c r="I28" s="112">
        <v>200000</v>
      </c>
      <c r="J28" s="84" t="s">
        <v>21</v>
      </c>
      <c r="K28" s="90" t="s">
        <v>47</v>
      </c>
      <c r="L28" s="91" t="s">
        <v>66</v>
      </c>
      <c r="M28" s="89"/>
      <c r="N28" s="84"/>
      <c r="O28" s="85"/>
    </row>
    <row r="29" s="1" customFormat="1" ht="18" customHeight="1" spans="1:15">
      <c r="A29" s="42"/>
      <c r="B29" s="112">
        <f t="shared" si="3"/>
        <v>0</v>
      </c>
      <c r="C29" s="43"/>
      <c r="D29" s="44"/>
      <c r="E29" s="52"/>
      <c r="F29" s="112">
        <f t="shared" si="4"/>
        <v>0</v>
      </c>
      <c r="G29" s="103"/>
      <c r="H29" s="23">
        <v>44186</v>
      </c>
      <c r="I29" s="112">
        <v>900000</v>
      </c>
      <c r="J29" s="84" t="s">
        <v>21</v>
      </c>
      <c r="K29" s="90" t="s">
        <v>59</v>
      </c>
      <c r="L29" s="91" t="s">
        <v>67</v>
      </c>
      <c r="M29" s="89"/>
      <c r="N29" s="84"/>
      <c r="O29" s="85"/>
    </row>
    <row r="30" s="1" customFormat="1" ht="18" customHeight="1" spans="1:15">
      <c r="A30" s="42"/>
      <c r="B30" s="112">
        <f t="shared" si="3"/>
        <v>0</v>
      </c>
      <c r="C30" s="43"/>
      <c r="D30" s="44"/>
      <c r="E30" s="52"/>
      <c r="F30" s="112">
        <f t="shared" si="4"/>
        <v>0</v>
      </c>
      <c r="G30" s="103"/>
      <c r="H30" s="23">
        <v>44195</v>
      </c>
      <c r="I30" s="112">
        <v>2054905</v>
      </c>
      <c r="J30" s="84" t="s">
        <v>21</v>
      </c>
      <c r="K30" s="90" t="s">
        <v>59</v>
      </c>
      <c r="L30" s="92" t="s">
        <v>68</v>
      </c>
      <c r="M30" s="89"/>
      <c r="N30" s="84"/>
      <c r="O30" s="85"/>
    </row>
    <row r="31" s="1" customFormat="1" ht="18" customHeight="1" spans="1:15">
      <c r="A31" s="42"/>
      <c r="B31" s="112">
        <f t="shared" si="3"/>
        <v>0</v>
      </c>
      <c r="C31" s="43"/>
      <c r="D31" s="44"/>
      <c r="E31" s="52"/>
      <c r="F31" s="112">
        <f t="shared" si="4"/>
        <v>0</v>
      </c>
      <c r="G31" s="103"/>
      <c r="H31" s="23">
        <v>44195</v>
      </c>
      <c r="I31" s="112">
        <v>1570000</v>
      </c>
      <c r="J31" s="84" t="s">
        <v>21</v>
      </c>
      <c r="K31" s="90" t="s">
        <v>52</v>
      </c>
      <c r="L31" s="92" t="s">
        <v>69</v>
      </c>
      <c r="M31" s="89"/>
      <c r="N31" s="84"/>
      <c r="O31" s="85"/>
    </row>
    <row r="32" s="1" customFormat="1" ht="18" customHeight="1" spans="1:15">
      <c r="A32" s="42"/>
      <c r="B32" s="112">
        <f t="shared" si="3"/>
        <v>0</v>
      </c>
      <c r="C32" s="43"/>
      <c r="D32" s="44"/>
      <c r="E32" s="52"/>
      <c r="F32" s="112">
        <f t="shared" si="4"/>
        <v>0</v>
      </c>
      <c r="G32" s="103"/>
      <c r="H32" s="23">
        <v>44195</v>
      </c>
      <c r="I32" s="112">
        <v>500000</v>
      </c>
      <c r="J32" s="84" t="s">
        <v>21</v>
      </c>
      <c r="K32" s="90" t="s">
        <v>47</v>
      </c>
      <c r="L32" s="92" t="s">
        <v>70</v>
      </c>
      <c r="M32" s="89"/>
      <c r="N32" s="84"/>
      <c r="O32" s="85"/>
    </row>
    <row r="33" s="1" customFormat="1" ht="18" customHeight="1" spans="1:15">
      <c r="A33" s="42"/>
      <c r="B33" s="112">
        <f t="shared" si="3"/>
        <v>0</v>
      </c>
      <c r="C33" s="43"/>
      <c r="D33" s="44"/>
      <c r="E33" s="52"/>
      <c r="F33" s="112">
        <f t="shared" si="4"/>
        <v>0</v>
      </c>
      <c r="G33" s="103"/>
      <c r="H33" s="23">
        <v>44195</v>
      </c>
      <c r="I33" s="112">
        <v>300000</v>
      </c>
      <c r="J33" s="84" t="s">
        <v>21</v>
      </c>
      <c r="K33" s="90" t="s">
        <v>43</v>
      </c>
      <c r="L33" s="92" t="s">
        <v>64</v>
      </c>
      <c r="M33" s="89"/>
      <c r="N33" s="84"/>
      <c r="O33" s="85"/>
    </row>
    <row r="34" s="1" customFormat="1" ht="18" customHeight="1" spans="1:15">
      <c r="A34" s="42"/>
      <c r="B34" s="112">
        <f t="shared" ref="B34:B43" si="5">ROUND(G34/(1+E34),2)</f>
        <v>0</v>
      </c>
      <c r="C34" s="43"/>
      <c r="D34" s="44"/>
      <c r="E34" s="52"/>
      <c r="F34" s="112">
        <f t="shared" ref="F34:F42" si="6">ROUND(G34/(1+E34)*E34,2)</f>
        <v>0</v>
      </c>
      <c r="G34" s="103"/>
      <c r="H34" s="23">
        <v>44211</v>
      </c>
      <c r="I34" s="112">
        <v>600000</v>
      </c>
      <c r="J34" s="84" t="s">
        <v>21</v>
      </c>
      <c r="K34" s="90" t="s">
        <v>71</v>
      </c>
      <c r="L34" s="92" t="s">
        <v>72</v>
      </c>
      <c r="M34" s="89"/>
      <c r="N34" s="84"/>
      <c r="O34" s="85"/>
    </row>
    <row r="35" s="1" customFormat="1" ht="18" customHeight="1" spans="1:15">
      <c r="A35" s="42"/>
      <c r="B35" s="112">
        <f t="shared" si="5"/>
        <v>0</v>
      </c>
      <c r="C35" s="43"/>
      <c r="D35" s="44"/>
      <c r="E35" s="45"/>
      <c r="F35" s="112">
        <f t="shared" si="6"/>
        <v>0</v>
      </c>
      <c r="G35" s="103"/>
      <c r="H35" s="23"/>
      <c r="I35" s="112"/>
      <c r="J35" s="84"/>
      <c r="K35" s="90"/>
      <c r="L35" s="92"/>
      <c r="M35" s="96"/>
      <c r="N35" s="122"/>
      <c r="O35" s="85"/>
    </row>
    <row r="36" s="1" customFormat="1" ht="18" customHeight="1" spans="1:15">
      <c r="A36" s="42"/>
      <c r="B36" s="112">
        <f t="shared" si="5"/>
        <v>0</v>
      </c>
      <c r="C36" s="43"/>
      <c r="D36" s="44"/>
      <c r="E36" s="52"/>
      <c r="F36" s="112">
        <f t="shared" si="6"/>
        <v>0</v>
      </c>
      <c r="G36" s="103"/>
      <c r="H36" s="23"/>
      <c r="I36" s="112"/>
      <c r="J36" s="84"/>
      <c r="K36" s="90"/>
      <c r="L36" s="92"/>
      <c r="M36" s="89"/>
      <c r="N36" s="84"/>
      <c r="O36" s="85"/>
    </row>
    <row r="37" s="1" customFormat="1" ht="18" customHeight="1" spans="1:15">
      <c r="A37" s="42"/>
      <c r="B37" s="112">
        <f t="shared" si="5"/>
        <v>0</v>
      </c>
      <c r="C37" s="43"/>
      <c r="D37" s="44"/>
      <c r="E37" s="52"/>
      <c r="F37" s="112">
        <f t="shared" si="6"/>
        <v>0</v>
      </c>
      <c r="G37" s="103"/>
      <c r="H37" s="23"/>
      <c r="I37" s="112"/>
      <c r="J37" s="84"/>
      <c r="K37" s="90"/>
      <c r="L37" s="92"/>
      <c r="M37" s="89"/>
      <c r="N37" s="84"/>
      <c r="O37" s="85"/>
    </row>
    <row r="38" s="1" customFormat="1" ht="18" customHeight="1" spans="1:15">
      <c r="A38" s="42"/>
      <c r="B38" s="112">
        <f t="shared" si="5"/>
        <v>0</v>
      </c>
      <c r="C38" s="43"/>
      <c r="D38" s="44"/>
      <c r="E38" s="52"/>
      <c r="F38" s="112">
        <f t="shared" si="6"/>
        <v>0</v>
      </c>
      <c r="G38" s="103"/>
      <c r="H38" s="23"/>
      <c r="I38" s="112"/>
      <c r="J38" s="84"/>
      <c r="K38" s="90"/>
      <c r="L38" s="92"/>
      <c r="M38" s="89"/>
      <c r="N38" s="84"/>
      <c r="O38" s="85"/>
    </row>
    <row r="39" s="1" customFormat="1" ht="18" customHeight="1" spans="1:15">
      <c r="A39" s="42"/>
      <c r="B39" s="112">
        <f t="shared" si="5"/>
        <v>0</v>
      </c>
      <c r="C39" s="43"/>
      <c r="D39" s="44"/>
      <c r="E39" s="52"/>
      <c r="F39" s="112">
        <f t="shared" si="6"/>
        <v>0</v>
      </c>
      <c r="G39" s="103"/>
      <c r="H39" s="23"/>
      <c r="I39" s="112"/>
      <c r="J39" s="84"/>
      <c r="K39" s="90"/>
      <c r="L39" s="92"/>
      <c r="M39" s="89"/>
      <c r="N39" s="84"/>
      <c r="O39" s="85"/>
    </row>
    <row r="40" s="1" customFormat="1" ht="18" customHeight="1" spans="1:15">
      <c r="A40" s="42"/>
      <c r="B40" s="112">
        <f t="shared" si="5"/>
        <v>0</v>
      </c>
      <c r="C40" s="43"/>
      <c r="D40" s="44"/>
      <c r="E40" s="52"/>
      <c r="F40" s="112">
        <f t="shared" si="6"/>
        <v>0</v>
      </c>
      <c r="G40" s="103"/>
      <c r="H40" s="23"/>
      <c r="I40" s="112"/>
      <c r="J40" s="84"/>
      <c r="K40" s="90"/>
      <c r="L40" s="92"/>
      <c r="M40" s="89"/>
      <c r="N40" s="84"/>
      <c r="O40" s="85"/>
    </row>
    <row r="41" s="1" customFormat="1" ht="18" customHeight="1" spans="1:15">
      <c r="A41" s="42"/>
      <c r="B41" s="112">
        <f t="shared" si="5"/>
        <v>0</v>
      </c>
      <c r="C41" s="43"/>
      <c r="D41" s="44"/>
      <c r="E41" s="52"/>
      <c r="F41" s="112">
        <f t="shared" si="6"/>
        <v>0</v>
      </c>
      <c r="G41" s="103"/>
      <c r="H41" s="23"/>
      <c r="I41" s="112">
        <v>400</v>
      </c>
      <c r="J41" s="84" t="s">
        <v>73</v>
      </c>
      <c r="K41" s="90" t="s">
        <v>74</v>
      </c>
      <c r="L41" s="93"/>
      <c r="M41" s="89"/>
      <c r="N41" s="84"/>
      <c r="O41" s="85"/>
    </row>
    <row r="42" s="1" customFormat="1" ht="18" customHeight="1" spans="1:15">
      <c r="A42" s="42"/>
      <c r="B42" s="112">
        <f t="shared" si="5"/>
        <v>0</v>
      </c>
      <c r="C42" s="43"/>
      <c r="D42" s="44"/>
      <c r="E42" s="52"/>
      <c r="F42" s="112">
        <f t="shared" si="6"/>
        <v>0</v>
      </c>
      <c r="G42" s="103"/>
      <c r="H42" s="23"/>
      <c r="I42" s="112">
        <v>700</v>
      </c>
      <c r="J42" s="84" t="s">
        <v>73</v>
      </c>
      <c r="K42" s="90" t="s">
        <v>74</v>
      </c>
      <c r="L42" s="91"/>
      <c r="M42" s="89"/>
      <c r="N42" s="84"/>
      <c r="O42" s="85"/>
    </row>
    <row r="43" s="1" customFormat="1" ht="18" customHeight="1" spans="1:15">
      <c r="A43" s="42"/>
      <c r="B43" s="112">
        <f t="shared" si="5"/>
        <v>0</v>
      </c>
      <c r="C43" s="43"/>
      <c r="D43" s="44"/>
      <c r="E43" s="52"/>
      <c r="F43" s="112">
        <f t="shared" ref="F41:F59" si="7">ROUND(G43/(1+E43)*E43,2)</f>
        <v>0</v>
      </c>
      <c r="G43" s="103"/>
      <c r="H43" s="23"/>
      <c r="I43" s="112">
        <v>-228808</v>
      </c>
      <c r="J43" s="84" t="s">
        <v>75</v>
      </c>
      <c r="K43" s="90" t="s">
        <v>76</v>
      </c>
      <c r="L43" s="91"/>
      <c r="M43" s="89"/>
      <c r="N43" s="84"/>
      <c r="O43" s="85"/>
    </row>
    <row r="44" s="1" customFormat="1" ht="18" customHeight="1" spans="1:15">
      <c r="A44" s="42"/>
      <c r="B44" s="112">
        <f t="shared" ref="B41:B59" si="8">ROUND(G44/(1+E44),2)</f>
        <v>0</v>
      </c>
      <c r="C44" s="43"/>
      <c r="D44" s="44"/>
      <c r="E44" s="52"/>
      <c r="F44" s="112">
        <f t="shared" si="7"/>
        <v>0</v>
      </c>
      <c r="G44" s="103"/>
      <c r="H44" s="23"/>
      <c r="I44" s="123">
        <v>165066.9</v>
      </c>
      <c r="J44" s="89" t="s">
        <v>73</v>
      </c>
      <c r="K44" s="90" t="s">
        <v>77</v>
      </c>
      <c r="L44" s="91"/>
      <c r="M44" s="89"/>
      <c r="N44" s="84"/>
      <c r="O44" s="85"/>
    </row>
    <row r="45" s="1" customFormat="1" ht="18" customHeight="1" spans="1:15">
      <c r="A45" s="42"/>
      <c r="B45" s="112">
        <f t="shared" si="8"/>
        <v>0</v>
      </c>
      <c r="C45" s="43"/>
      <c r="D45" s="44"/>
      <c r="E45" s="52"/>
      <c r="F45" s="112">
        <f t="shared" si="7"/>
        <v>0</v>
      </c>
      <c r="G45" s="103"/>
      <c r="H45" s="23"/>
      <c r="I45" s="123">
        <v>-295511.16</v>
      </c>
      <c r="J45" s="89" t="s">
        <v>75</v>
      </c>
      <c r="K45" s="90" t="s">
        <v>78</v>
      </c>
      <c r="L45" s="91"/>
      <c r="M45" s="89"/>
      <c r="N45" s="84"/>
      <c r="O45" s="85"/>
    </row>
    <row r="46" s="1" customFormat="1" ht="18" customHeight="1" spans="1:15">
      <c r="A46" s="42"/>
      <c r="B46" s="112">
        <f t="shared" si="8"/>
        <v>10599.41</v>
      </c>
      <c r="C46" s="43"/>
      <c r="D46" s="44"/>
      <c r="E46" s="52"/>
      <c r="F46" s="112">
        <f t="shared" si="7"/>
        <v>0</v>
      </c>
      <c r="G46" s="103">
        <f>I46</f>
        <v>10599.41</v>
      </c>
      <c r="H46" s="23"/>
      <c r="I46" s="123">
        <v>10599.41</v>
      </c>
      <c r="J46" s="89" t="s">
        <v>73</v>
      </c>
      <c r="K46" s="90" t="s">
        <v>79</v>
      </c>
      <c r="L46" s="91"/>
      <c r="M46" s="89"/>
      <c r="N46" s="84"/>
      <c r="O46" s="85"/>
    </row>
    <row r="47" s="1" customFormat="1" ht="18" customHeight="1" spans="1:15">
      <c r="A47" s="42"/>
      <c r="B47" s="112">
        <f t="shared" si="8"/>
        <v>0</v>
      </c>
      <c r="C47" s="43"/>
      <c r="D47" s="44"/>
      <c r="E47" s="52"/>
      <c r="F47" s="112">
        <f t="shared" si="7"/>
        <v>0</v>
      </c>
      <c r="G47" s="103"/>
      <c r="H47" s="23"/>
      <c r="I47" s="123">
        <v>10599.411</v>
      </c>
      <c r="J47" s="89" t="s">
        <v>73</v>
      </c>
      <c r="K47" s="90" t="s">
        <v>80</v>
      </c>
      <c r="L47" s="91"/>
      <c r="M47" s="89"/>
      <c r="N47" s="84"/>
      <c r="O47" s="85"/>
    </row>
    <row r="48" s="1" customFormat="1" ht="18" customHeight="1" spans="1:15">
      <c r="A48" s="42"/>
      <c r="B48" s="112">
        <f t="shared" si="8"/>
        <v>0</v>
      </c>
      <c r="C48" s="43"/>
      <c r="D48" s="44"/>
      <c r="E48" s="52"/>
      <c r="F48" s="112">
        <f t="shared" si="7"/>
        <v>0</v>
      </c>
      <c r="G48" s="103"/>
      <c r="H48" s="23"/>
      <c r="I48" s="124">
        <v>6831</v>
      </c>
      <c r="J48" s="89" t="s">
        <v>73</v>
      </c>
      <c r="K48" s="90" t="s">
        <v>81</v>
      </c>
      <c r="L48" s="91"/>
      <c r="M48" s="89"/>
      <c r="N48" s="84"/>
      <c r="O48" s="85"/>
    </row>
    <row r="49" s="1" customFormat="1" ht="18" customHeight="1" spans="1:15">
      <c r="A49" s="42"/>
      <c r="B49" s="112">
        <f t="shared" si="8"/>
        <v>0</v>
      </c>
      <c r="C49" s="43"/>
      <c r="D49" s="44"/>
      <c r="E49" s="52"/>
      <c r="F49" s="112">
        <f t="shared" si="7"/>
        <v>0</v>
      </c>
      <c r="G49" s="103"/>
      <c r="H49" s="23"/>
      <c r="I49" s="123">
        <v>57509.87</v>
      </c>
      <c r="J49" s="89" t="s">
        <v>73</v>
      </c>
      <c r="K49" s="90" t="s">
        <v>82</v>
      </c>
      <c r="L49" s="91"/>
      <c r="M49" s="89"/>
      <c r="N49" s="84"/>
      <c r="O49" s="85"/>
    </row>
    <row r="50" s="1" customFormat="1" ht="18" customHeight="1" spans="1:15">
      <c r="A50" s="42"/>
      <c r="B50" s="112">
        <f t="shared" si="8"/>
        <v>0</v>
      </c>
      <c r="C50" s="43"/>
      <c r="D50" s="44"/>
      <c r="E50" s="52"/>
      <c r="F50" s="112">
        <f t="shared" si="7"/>
        <v>0</v>
      </c>
      <c r="G50" s="103"/>
      <c r="H50" s="23"/>
      <c r="I50" s="123">
        <v>600</v>
      </c>
      <c r="J50" s="89" t="s">
        <v>73</v>
      </c>
      <c r="K50" s="90" t="s">
        <v>74</v>
      </c>
      <c r="L50" s="86"/>
      <c r="M50" s="89"/>
      <c r="N50" s="84"/>
      <c r="O50" s="85"/>
    </row>
    <row r="51" s="1" customFormat="1" ht="18" customHeight="1" spans="1:15">
      <c r="A51" s="42"/>
      <c r="B51" s="112">
        <f t="shared" si="8"/>
        <v>100740.33</v>
      </c>
      <c r="C51" s="43"/>
      <c r="D51" s="44"/>
      <c r="E51" s="52"/>
      <c r="F51" s="112">
        <f t="shared" si="7"/>
        <v>0</v>
      </c>
      <c r="G51" s="103">
        <f>I51</f>
        <v>100740.33</v>
      </c>
      <c r="H51" s="28"/>
      <c r="I51" s="123">
        <v>100740.33</v>
      </c>
      <c r="J51" s="89" t="s">
        <v>73</v>
      </c>
      <c r="K51" s="90" t="s">
        <v>83</v>
      </c>
      <c r="L51" s="86"/>
      <c r="M51" s="89"/>
      <c r="N51" s="84"/>
      <c r="O51" s="85"/>
    </row>
    <row r="52" s="1" customFormat="1" ht="18" customHeight="1" spans="1:15">
      <c r="A52" s="42"/>
      <c r="B52" s="112">
        <f t="shared" si="8"/>
        <v>0</v>
      </c>
      <c r="C52" s="43"/>
      <c r="D52" s="44"/>
      <c r="E52" s="52"/>
      <c r="F52" s="112">
        <f t="shared" si="7"/>
        <v>0</v>
      </c>
      <c r="G52" s="103"/>
      <c r="H52" s="28"/>
      <c r="I52" s="123">
        <v>200</v>
      </c>
      <c r="J52" s="89" t="s">
        <v>73</v>
      </c>
      <c r="K52" s="90" t="s">
        <v>74</v>
      </c>
      <c r="L52" s="86"/>
      <c r="M52" s="89"/>
      <c r="N52" s="84"/>
      <c r="O52" s="85"/>
    </row>
    <row r="53" s="1" customFormat="1" ht="18" customHeight="1" spans="1:15">
      <c r="A53" s="42"/>
      <c r="B53" s="112">
        <f t="shared" si="8"/>
        <v>0</v>
      </c>
      <c r="C53" s="43"/>
      <c r="D53" s="44"/>
      <c r="E53" s="52"/>
      <c r="F53" s="112">
        <f t="shared" si="7"/>
        <v>0</v>
      </c>
      <c r="G53" s="103"/>
      <c r="H53" s="28"/>
      <c r="I53" s="123">
        <v>660000</v>
      </c>
      <c r="J53" s="89" t="s">
        <v>84</v>
      </c>
      <c r="K53" s="90" t="s">
        <v>85</v>
      </c>
      <c r="L53" s="86"/>
      <c r="M53" s="89"/>
      <c r="N53" s="84"/>
      <c r="O53" s="85"/>
    </row>
    <row r="54" s="1" customFormat="1" ht="18" customHeight="1" spans="1:15">
      <c r="A54" s="42"/>
      <c r="B54" s="112">
        <f t="shared" si="8"/>
        <v>0</v>
      </c>
      <c r="C54" s="43"/>
      <c r="D54" s="44"/>
      <c r="E54" s="52"/>
      <c r="F54" s="112">
        <f t="shared" si="7"/>
        <v>0</v>
      </c>
      <c r="G54" s="103"/>
      <c r="H54" s="28"/>
      <c r="I54" s="123">
        <v>100740.33</v>
      </c>
      <c r="J54" s="89" t="s">
        <v>73</v>
      </c>
      <c r="K54" s="90" t="s">
        <v>86</v>
      </c>
      <c r="L54" s="86"/>
      <c r="M54" s="89"/>
      <c r="N54" s="84"/>
      <c r="O54" s="85"/>
    </row>
    <row r="55" s="1" customFormat="1" ht="18" customHeight="1" spans="1:15">
      <c r="A55" s="42"/>
      <c r="B55" s="112">
        <f t="shared" si="8"/>
        <v>0</v>
      </c>
      <c r="C55" s="43"/>
      <c r="D55" s="44"/>
      <c r="E55" s="52"/>
      <c r="F55" s="112">
        <f t="shared" si="7"/>
        <v>0</v>
      </c>
      <c r="G55" s="103"/>
      <c r="H55" s="28"/>
      <c r="I55" s="102">
        <v>63741.37</v>
      </c>
      <c r="J55" s="89" t="s">
        <v>73</v>
      </c>
      <c r="K55" s="90" t="s">
        <v>87</v>
      </c>
      <c r="L55" s="86"/>
      <c r="M55" s="89"/>
      <c r="N55" s="84"/>
      <c r="O55" s="85"/>
    </row>
    <row r="56" s="1" customFormat="1" ht="18" customHeight="1" spans="1:15">
      <c r="A56" s="42"/>
      <c r="B56" s="112">
        <f t="shared" si="8"/>
        <v>0</v>
      </c>
      <c r="C56" s="43"/>
      <c r="D56" s="44"/>
      <c r="E56" s="52"/>
      <c r="F56" s="112">
        <f t="shared" si="7"/>
        <v>0</v>
      </c>
      <c r="G56" s="103"/>
      <c r="H56" s="28"/>
      <c r="I56" s="125">
        <v>2638</v>
      </c>
      <c r="J56" s="89" t="s">
        <v>73</v>
      </c>
      <c r="K56" s="90" t="s">
        <v>88</v>
      </c>
      <c r="L56" s="86"/>
      <c r="M56" s="89"/>
      <c r="N56" s="84"/>
      <c r="O56" s="85"/>
    </row>
    <row r="57" s="1" customFormat="1" ht="18" customHeight="1" spans="1:15">
      <c r="A57" s="42"/>
      <c r="B57" s="112">
        <f t="shared" si="8"/>
        <v>0</v>
      </c>
      <c r="C57" s="43"/>
      <c r="D57" s="44"/>
      <c r="E57" s="52"/>
      <c r="F57" s="112">
        <f t="shared" si="7"/>
        <v>0</v>
      </c>
      <c r="G57" s="103"/>
      <c r="H57" s="28" t="s">
        <v>89</v>
      </c>
      <c r="I57" s="99">
        <v>223094.806957798</v>
      </c>
      <c r="J57" s="89" t="s">
        <v>73</v>
      </c>
      <c r="K57" s="90" t="s">
        <v>90</v>
      </c>
      <c r="L57" s="86"/>
      <c r="M57" s="89"/>
      <c r="N57" s="84"/>
      <c r="O57" s="85"/>
    </row>
    <row r="58" s="1" customFormat="1" ht="18" customHeight="1" spans="1:15">
      <c r="A58" s="42"/>
      <c r="B58" s="112">
        <f t="shared" si="8"/>
        <v>0</v>
      </c>
      <c r="C58" s="43"/>
      <c r="D58" s="44"/>
      <c r="E58" s="52"/>
      <c r="F58" s="112">
        <f t="shared" si="7"/>
        <v>0</v>
      </c>
      <c r="G58" s="103"/>
      <c r="H58" s="28"/>
      <c r="I58" s="99"/>
      <c r="J58" s="89"/>
      <c r="K58" s="90"/>
      <c r="L58" s="86"/>
      <c r="M58" s="89"/>
      <c r="N58" s="84"/>
      <c r="O58" s="85"/>
    </row>
    <row r="59" s="1" customFormat="1" ht="18" customHeight="1" spans="1:15">
      <c r="A59" s="42"/>
      <c r="B59" s="112">
        <f t="shared" si="8"/>
        <v>0</v>
      </c>
      <c r="C59" s="43"/>
      <c r="D59" s="44"/>
      <c r="E59" s="52"/>
      <c r="F59" s="112">
        <f t="shared" si="7"/>
        <v>0</v>
      </c>
      <c r="G59" s="103"/>
      <c r="H59" s="28"/>
      <c r="I59" s="99"/>
      <c r="J59" s="89"/>
      <c r="K59" s="90"/>
      <c r="L59" s="86"/>
      <c r="M59" s="89"/>
      <c r="N59" s="84"/>
      <c r="O59" s="85"/>
    </row>
    <row r="60" ht="18" customHeight="1" spans="1:15">
      <c r="A60" s="32" t="s">
        <v>24</v>
      </c>
      <c r="B60" s="104">
        <f>SUM(B17:B59)</f>
        <v>8781651.79</v>
      </c>
      <c r="C60" s="32"/>
      <c r="D60" s="53"/>
      <c r="E60" s="53"/>
      <c r="F60" s="105">
        <f>SUM(F17:F59)</f>
        <v>432391.59</v>
      </c>
      <c r="G60" s="115">
        <f>SUM(G17:G59)</f>
        <v>9214043.38</v>
      </c>
      <c r="H60" s="55"/>
      <c r="I60" s="32">
        <f>SUM(I17:I59)</f>
        <v>7704047.2679578</v>
      </c>
      <c r="J60" s="95"/>
      <c r="K60" s="53"/>
      <c r="L60" s="96"/>
      <c r="M60" s="89"/>
      <c r="N60" s="89"/>
      <c r="O60" s="35"/>
    </row>
    <row r="61" ht="18" customHeight="1" spans="1:14">
      <c r="A61" s="56" t="s">
        <v>91</v>
      </c>
      <c r="B61" s="56">
        <f>B14*0.96</f>
        <v>9806068.93211009</v>
      </c>
      <c r="C61" s="56"/>
      <c r="D61" s="58"/>
      <c r="E61" s="58"/>
      <c r="F61" s="57"/>
      <c r="G61" s="56">
        <f>G14-G60</f>
        <v>1919930.72</v>
      </c>
      <c r="H61" s="22" t="s">
        <v>92</v>
      </c>
      <c r="I61" s="32">
        <f>I14-I60</f>
        <v>2035222.3320422</v>
      </c>
      <c r="J61" s="6"/>
      <c r="K61" s="97"/>
      <c r="M61" s="98"/>
      <c r="N61" s="98"/>
    </row>
    <row r="62" ht="18" customHeight="1" spans="1:14">
      <c r="A62" s="56" t="s">
        <v>93</v>
      </c>
      <c r="B62" s="56">
        <f>B61-B60</f>
        <v>1024417.14211009</v>
      </c>
      <c r="C62" s="56"/>
      <c r="D62" s="58"/>
      <c r="E62" s="58"/>
      <c r="F62" s="57"/>
      <c r="G62" s="57"/>
      <c r="H62" s="59"/>
      <c r="I62" s="57"/>
      <c r="J62" s="6"/>
      <c r="K62" s="97"/>
      <c r="M62" s="98"/>
      <c r="N62" s="98"/>
    </row>
    <row r="63" ht="18" customHeight="1" spans="1:3">
      <c r="A63" s="2" t="s">
        <v>94</v>
      </c>
      <c r="C63" s="2"/>
    </row>
    <row r="64" ht="18" customHeight="1" spans="1:9">
      <c r="A64" s="22" t="s">
        <v>95</v>
      </c>
      <c r="B64" s="21" t="s">
        <v>96</v>
      </c>
      <c r="C64" s="35"/>
      <c r="D64" s="22" t="s">
        <v>95</v>
      </c>
      <c r="E64" s="20" t="s">
        <v>16</v>
      </c>
      <c r="F64" s="21" t="s">
        <v>96</v>
      </c>
      <c r="G64" s="60" t="s">
        <v>97</v>
      </c>
      <c r="H64" s="60" t="s">
        <v>98</v>
      </c>
      <c r="I64" s="6"/>
    </row>
    <row r="65" ht="18" customHeight="1" spans="1:9">
      <c r="A65" s="35" t="s">
        <v>99</v>
      </c>
      <c r="B65" s="19">
        <f>(B61-B60)*0.25</f>
        <v>256104.285527522</v>
      </c>
      <c r="C65" s="35"/>
      <c r="D65" s="30" t="s">
        <v>100</v>
      </c>
      <c r="E65" s="22" t="s">
        <v>101</v>
      </c>
      <c r="F65" s="34">
        <f>F14-F60</f>
        <v>282634.269633028</v>
      </c>
      <c r="G65" s="61">
        <f>F7</f>
        <v>199191.791926606</v>
      </c>
      <c r="H65" s="61">
        <f>SUM(F8:F10)-SUM(F17:F24)</f>
        <v>83442.4777064217</v>
      </c>
      <c r="I65" s="4"/>
    </row>
    <row r="66" ht="18" customHeight="1" spans="1:9">
      <c r="A66" s="35" t="s">
        <v>102</v>
      </c>
      <c r="B66" s="62"/>
      <c r="C66" s="35"/>
      <c r="D66" s="63" t="s">
        <v>103</v>
      </c>
      <c r="E66" s="64">
        <v>0.07</v>
      </c>
      <c r="F66" s="29">
        <f>F65*E66</f>
        <v>19784.3988743119</v>
      </c>
      <c r="G66" s="65">
        <f>G65*E66</f>
        <v>13943.4254348624</v>
      </c>
      <c r="H66" s="65">
        <f>H65*E66</f>
        <v>5840.97343944952</v>
      </c>
      <c r="I66" s="6"/>
    </row>
    <row r="67" ht="18" customHeight="1" spans="1:14">
      <c r="A67" s="35" t="s">
        <v>104</v>
      </c>
      <c r="B67" s="62"/>
      <c r="C67" s="35"/>
      <c r="D67" s="63" t="s">
        <v>105</v>
      </c>
      <c r="E67" s="64">
        <v>0.03</v>
      </c>
      <c r="F67" s="29">
        <f>F65*E67</f>
        <v>8479.02808899083</v>
      </c>
      <c r="G67" s="65">
        <f>G65*E67</f>
        <v>5975.75375779818</v>
      </c>
      <c r="H67" s="65">
        <f>H65*E67</f>
        <v>2503.27433119265</v>
      </c>
      <c r="I67" s="6"/>
      <c r="K67" s="97"/>
      <c r="M67" s="98"/>
      <c r="N67" s="98"/>
    </row>
    <row r="68" ht="18" customHeight="1" spans="1:14">
      <c r="A68" s="35"/>
      <c r="B68" s="29"/>
      <c r="C68" s="35"/>
      <c r="D68" s="63" t="s">
        <v>106</v>
      </c>
      <c r="E68" s="64">
        <v>0.02</v>
      </c>
      <c r="F68" s="29">
        <f>F65*E68</f>
        <v>5652.68539266055</v>
      </c>
      <c r="G68" s="65">
        <f>G65*E68</f>
        <v>3983.83583853212</v>
      </c>
      <c r="H68" s="65">
        <f>H65*E68</f>
        <v>1668.84955412843</v>
      </c>
      <c r="I68" s="6"/>
      <c r="K68" s="97"/>
      <c r="M68" s="98"/>
      <c r="N68" s="98"/>
    </row>
    <row r="69" ht="18" customHeight="1" spans="1:9">
      <c r="A69" s="30" t="s">
        <v>107</v>
      </c>
      <c r="B69" s="31">
        <f t="shared" ref="B69:H69" si="9">SUM(B65:B68)</f>
        <v>256104.285527522</v>
      </c>
      <c r="C69" s="35"/>
      <c r="D69" s="36" t="s">
        <v>107</v>
      </c>
      <c r="E69" s="30"/>
      <c r="F69" s="34">
        <f t="shared" si="9"/>
        <v>316550.381988991</v>
      </c>
      <c r="G69" s="66">
        <f t="shared" si="9"/>
        <v>223094.806957799</v>
      </c>
      <c r="H69" s="66">
        <f t="shared" si="9"/>
        <v>93455.5750311923</v>
      </c>
      <c r="I69" s="6"/>
    </row>
    <row r="70" ht="18" customHeight="1" spans="1:9">
      <c r="A70" s="67"/>
      <c r="B70" s="68"/>
      <c r="C70" s="6"/>
      <c r="D70" s="35" t="s">
        <v>102</v>
      </c>
      <c r="E70" s="69">
        <v>0.0003</v>
      </c>
      <c r="F70" s="70">
        <f>G14*E70</f>
        <v>3340.19223</v>
      </c>
      <c r="G70" s="71">
        <f>G7*E70</f>
        <v>930.510228</v>
      </c>
      <c r="H70" s="72">
        <f>SUM(G8:G10)*E70</f>
        <v>2409.682002</v>
      </c>
      <c r="I70" s="6"/>
    </row>
    <row r="71" ht="18" customHeight="1" spans="1:9">
      <c r="A71" s="67"/>
      <c r="B71" s="68"/>
      <c r="C71" s="6"/>
      <c r="D71" s="73" t="s">
        <v>104</v>
      </c>
      <c r="E71" s="74">
        <v>0.0006</v>
      </c>
      <c r="F71" s="71">
        <f>B14*E71</f>
        <v>6128.79308256881</v>
      </c>
      <c r="G71" s="71">
        <f>B7*E71</f>
        <v>1707.35821651376</v>
      </c>
      <c r="H71" s="75">
        <f>SUM(B8:B10)*E71</f>
        <v>4421.43486605504</v>
      </c>
      <c r="I71" s="6"/>
    </row>
    <row r="72" ht="18" customHeight="1" spans="3:9">
      <c r="C72" s="2"/>
      <c r="D72" s="32" t="s">
        <v>99</v>
      </c>
      <c r="E72" s="53">
        <v>0.01</v>
      </c>
      <c r="F72" s="33">
        <f>G14*E72</f>
        <v>111339.741</v>
      </c>
      <c r="G72" s="29">
        <f>D2*E72</f>
        <v>100740.33</v>
      </c>
      <c r="H72" s="99">
        <f>(G14-D2)*E72</f>
        <v>10599.411</v>
      </c>
      <c r="I72" s="6"/>
    </row>
    <row r="73" ht="18" customHeight="1" spans="3:9">
      <c r="C73" s="2"/>
      <c r="D73" s="32" t="s">
        <v>108</v>
      </c>
      <c r="E73" s="53">
        <v>0.25</v>
      </c>
      <c r="F73" s="33">
        <f>B65</f>
        <v>256104.285527522</v>
      </c>
      <c r="G73" s="100">
        <v>660000</v>
      </c>
      <c r="H73" s="99">
        <v>-295511.156972477</v>
      </c>
      <c r="I73" s="6"/>
    </row>
    <row r="74" ht="23" customHeight="1" spans="2:8">
      <c r="B74" s="101" t="s">
        <v>109</v>
      </c>
      <c r="C74" s="2"/>
      <c r="D74" s="22" t="s">
        <v>95</v>
      </c>
      <c r="E74" s="20" t="s">
        <v>16</v>
      </c>
      <c r="F74" s="21"/>
      <c r="G74" s="21" t="s">
        <v>110</v>
      </c>
      <c r="H74" s="21" t="s">
        <v>111</v>
      </c>
    </row>
    <row r="75" ht="23" customHeight="1" spans="3:8">
      <c r="C75" s="2"/>
      <c r="D75" s="30" t="s">
        <v>100</v>
      </c>
      <c r="E75" s="22" t="s">
        <v>101</v>
      </c>
      <c r="F75" s="34"/>
      <c r="G75" s="34">
        <f>B7*0.02</f>
        <v>56911.9405504587</v>
      </c>
      <c r="H75" s="34">
        <f>SUM(D8:D10)</f>
        <v>147381.162201835</v>
      </c>
    </row>
    <row r="76" ht="23" customHeight="1" spans="3:8">
      <c r="C76" s="2"/>
      <c r="D76" s="63" t="s">
        <v>103</v>
      </c>
      <c r="E76" s="64">
        <v>0.07</v>
      </c>
      <c r="F76" s="29"/>
      <c r="G76" s="29">
        <f>G75*E76</f>
        <v>3983.83583853211</v>
      </c>
      <c r="H76" s="29">
        <f>H75*E76</f>
        <v>10316.6813541284</v>
      </c>
    </row>
    <row r="77" ht="23" customHeight="1" spans="3:8">
      <c r="C77" s="2"/>
      <c r="D77" s="63" t="s">
        <v>105</v>
      </c>
      <c r="E77" s="64">
        <v>0.03</v>
      </c>
      <c r="F77" s="29"/>
      <c r="G77" s="29">
        <f>G75*E77</f>
        <v>1707.35821651376</v>
      </c>
      <c r="H77" s="29">
        <f>H75*E77</f>
        <v>4421.43486605504</v>
      </c>
    </row>
    <row r="78" ht="23" customHeight="1" spans="3:8">
      <c r="C78" s="2"/>
      <c r="D78" s="63" t="s">
        <v>106</v>
      </c>
      <c r="E78" s="64">
        <v>0.02</v>
      </c>
      <c r="F78" s="29"/>
      <c r="G78" s="29">
        <f>G75*E78</f>
        <v>1138.23881100917</v>
      </c>
      <c r="H78" s="29">
        <f>H75*E78</f>
        <v>2947.6232440367</v>
      </c>
    </row>
    <row r="79" ht="23" customHeight="1" spans="4:8">
      <c r="D79" s="36" t="s">
        <v>107</v>
      </c>
      <c r="E79" s="30"/>
      <c r="F79" s="34"/>
      <c r="G79" s="34">
        <f>SUM(G75:G78)</f>
        <v>63741.3734165138</v>
      </c>
      <c r="H79" s="34">
        <f>SUM(SUM(H75:H78))</f>
        <v>165066.901666055</v>
      </c>
    </row>
    <row r="85" spans="9:9">
      <c r="I85" s="3">
        <f>G19+G20-I28-I32</f>
        <v>817000</v>
      </c>
    </row>
  </sheetData>
  <autoFilter ref="A16:O7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opLeftCell="B2" workbookViewId="0">
      <selection activeCell="G32" sqref="G3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8.625" style="4" customWidth="1"/>
    <col min="6" max="6" width="13.125" style="3" customWidth="1"/>
    <col min="7" max="7" width="24.125" style="3" customWidth="1"/>
    <col min="8" max="8" width="20.5" style="4" customWidth="1"/>
    <col min="9" max="9" width="13.875" style="3" customWidth="1"/>
    <col min="10" max="10" width="6.125" style="5" customWidth="1"/>
    <col min="11" max="11" width="31.5" style="6" customWidth="1"/>
    <col min="12" max="12" width="18.125" style="7" customWidth="1"/>
    <col min="13" max="13" width="27.875" style="6" customWidth="1"/>
    <col min="14" max="14" width="5.625" style="6" customWidth="1"/>
    <col min="15" max="15" width="20.25" style="6" customWidth="1"/>
    <col min="16" max="16384" width="9" style="6"/>
  </cols>
  <sheetData>
    <row r="1" ht="21.95" customHeight="1" spans="1:12">
      <c r="A1" s="8" t="s">
        <v>0</v>
      </c>
      <c r="B1" s="8"/>
      <c r="C1" s="8"/>
      <c r="D1" s="9"/>
      <c r="E1" s="8"/>
      <c r="F1" s="10"/>
      <c r="G1" s="10"/>
      <c r="H1" s="8"/>
      <c r="I1" s="10"/>
      <c r="J1" s="8"/>
      <c r="K1" s="9"/>
      <c r="L1" s="76"/>
    </row>
    <row r="2" ht="18" customHeight="1" spans="1:12">
      <c r="A2" s="11" t="s">
        <v>1</v>
      </c>
      <c r="B2" s="12">
        <v>44040</v>
      </c>
      <c r="C2" s="13" t="s">
        <v>2</v>
      </c>
      <c r="D2" s="14">
        <v>10074033</v>
      </c>
      <c r="E2" s="15" t="s">
        <v>3</v>
      </c>
      <c r="F2" s="16" t="s">
        <v>4</v>
      </c>
      <c r="G2" s="17" t="s">
        <v>5</v>
      </c>
      <c r="H2" s="18" t="s">
        <v>6</v>
      </c>
      <c r="I2" s="77"/>
      <c r="J2" s="78"/>
      <c r="K2" s="9"/>
      <c r="L2" s="76"/>
    </row>
    <row r="3" ht="18" customHeight="1" spans="1:12">
      <c r="A3" s="11" t="s">
        <v>7</v>
      </c>
      <c r="B3" s="19"/>
      <c r="C3" s="13" t="s">
        <v>8</v>
      </c>
      <c r="D3" s="14">
        <v>11133974.1</v>
      </c>
      <c r="F3" s="3">
        <f>D3-D2</f>
        <v>1059941.1</v>
      </c>
      <c r="H3" s="9"/>
      <c r="I3" s="79"/>
      <c r="J3" s="9"/>
      <c r="K3" s="9"/>
      <c r="L3" s="76"/>
    </row>
    <row r="4" ht="18" customHeight="1" spans="1:12">
      <c r="A4" s="2" t="s">
        <v>9</v>
      </c>
      <c r="H4" s="9"/>
      <c r="I4" s="79"/>
      <c r="J4" s="9"/>
      <c r="K4" s="9"/>
      <c r="L4" s="76"/>
    </row>
    <row r="5" ht="18" customHeight="1" spans="1:10">
      <c r="A5" s="20" t="s">
        <v>10</v>
      </c>
      <c r="B5" s="21" t="s">
        <v>11</v>
      </c>
      <c r="C5" s="20" t="s">
        <v>12</v>
      </c>
      <c r="D5" s="20"/>
      <c r="E5" s="20" t="s">
        <v>13</v>
      </c>
      <c r="F5" s="21"/>
      <c r="G5" s="21" t="s">
        <v>14</v>
      </c>
      <c r="H5" s="22" t="s">
        <v>15</v>
      </c>
      <c r="I5" s="21"/>
      <c r="J5" s="22"/>
    </row>
    <row r="6" ht="18" customHeight="1" spans="1:10">
      <c r="A6" s="20"/>
      <c r="B6" s="21"/>
      <c r="C6" s="20" t="s">
        <v>16</v>
      </c>
      <c r="D6" s="20" t="s">
        <v>17</v>
      </c>
      <c r="E6" s="20" t="s">
        <v>16</v>
      </c>
      <c r="F6" s="21" t="s">
        <v>17</v>
      </c>
      <c r="G6" s="21"/>
      <c r="H6" s="22" t="s">
        <v>18</v>
      </c>
      <c r="I6" s="21" t="s">
        <v>19</v>
      </c>
      <c r="J6" s="22" t="s">
        <v>20</v>
      </c>
    </row>
    <row r="7" ht="18" customHeight="1" spans="1:10">
      <c r="A7" s="23">
        <v>44158</v>
      </c>
      <c r="B7" s="24">
        <f t="shared" ref="B7:B10" si="0">G7/(1+C7+E7)</f>
        <v>2845597.02752294</v>
      </c>
      <c r="C7" s="25">
        <v>0.02</v>
      </c>
      <c r="D7" s="24">
        <f>G7/(1+E7+C7)*C7+886.23</f>
        <v>57798.1705504587</v>
      </c>
      <c r="E7" s="26">
        <v>0.07</v>
      </c>
      <c r="F7" s="24">
        <f t="shared" ref="F7:F10" si="1">G7/(1+C7+E7)*E7</f>
        <v>199191.791926606</v>
      </c>
      <c r="G7" s="27">
        <v>3101700.76</v>
      </c>
      <c r="H7" s="28">
        <v>44158</v>
      </c>
      <c r="I7" s="29">
        <v>3101700.76</v>
      </c>
      <c r="J7" s="22" t="s">
        <v>21</v>
      </c>
    </row>
    <row r="8" ht="18" customHeight="1" spans="1:10">
      <c r="A8" s="28">
        <v>44188</v>
      </c>
      <c r="B8" s="24">
        <f t="shared" si="0"/>
        <v>5934523.47706422</v>
      </c>
      <c r="C8" s="25">
        <v>0.02</v>
      </c>
      <c r="D8" s="24">
        <f t="shared" ref="D8:D10" si="2">G8/(1+E8+C8)*C8</f>
        <v>118690.469541284</v>
      </c>
      <c r="E8" s="26">
        <v>0.07</v>
      </c>
      <c r="F8" s="24">
        <f t="shared" si="1"/>
        <v>415416.643394495</v>
      </c>
      <c r="G8" s="27">
        <v>6468630.59</v>
      </c>
      <c r="H8" s="28">
        <v>44159</v>
      </c>
      <c r="I8" s="29">
        <v>6972332.24</v>
      </c>
      <c r="J8" s="22" t="s">
        <v>21</v>
      </c>
    </row>
    <row r="9" ht="18" customHeight="1" spans="1:12">
      <c r="A9" s="28">
        <v>44190</v>
      </c>
      <c r="B9" s="24">
        <f t="shared" si="0"/>
        <v>462111.605504587</v>
      </c>
      <c r="C9" s="25">
        <v>0.02</v>
      </c>
      <c r="D9" s="24">
        <f t="shared" si="2"/>
        <v>9242.23211009174</v>
      </c>
      <c r="E9" s="26">
        <v>0.07</v>
      </c>
      <c r="F9" s="24">
        <f t="shared" si="1"/>
        <v>32347.8123853211</v>
      </c>
      <c r="G9" s="27">
        <v>503701.65</v>
      </c>
      <c r="H9" s="28">
        <v>44192</v>
      </c>
      <c r="I9" s="19">
        <v>-6972332.24</v>
      </c>
      <c r="J9" s="22" t="s">
        <v>21</v>
      </c>
      <c r="K9" s="80" t="s">
        <v>22</v>
      </c>
      <c r="L9" s="7" t="s">
        <v>23</v>
      </c>
    </row>
    <row r="10" ht="18" customHeight="1" spans="1:10">
      <c r="A10" s="28">
        <v>44190</v>
      </c>
      <c r="B10" s="29">
        <f t="shared" si="0"/>
        <v>972423.027522936</v>
      </c>
      <c r="C10" s="25">
        <v>0.02</v>
      </c>
      <c r="D10" s="24">
        <f t="shared" si="2"/>
        <v>19448.4605504587</v>
      </c>
      <c r="E10" s="26">
        <v>0.07</v>
      </c>
      <c r="F10" s="29">
        <f t="shared" si="1"/>
        <v>68069.6119266055</v>
      </c>
      <c r="G10" s="27">
        <v>1059941.1</v>
      </c>
      <c r="H10" s="28">
        <v>44190</v>
      </c>
      <c r="I10" s="29">
        <v>4800415.2</v>
      </c>
      <c r="J10" s="22" t="s">
        <v>21</v>
      </c>
    </row>
    <row r="11" ht="18" customHeight="1" spans="1:10">
      <c r="A11" s="28"/>
      <c r="B11" s="29"/>
      <c r="C11" s="25"/>
      <c r="D11" s="24"/>
      <c r="E11" s="26"/>
      <c r="F11" s="29"/>
      <c r="G11" s="27"/>
      <c r="H11" s="28">
        <v>44190</v>
      </c>
      <c r="I11" s="29">
        <v>1059941.1</v>
      </c>
      <c r="J11" s="22" t="s">
        <v>21</v>
      </c>
    </row>
    <row r="12" ht="18" customHeight="1" spans="1:12">
      <c r="A12" s="28"/>
      <c r="B12" s="29"/>
      <c r="C12" s="25"/>
      <c r="D12" s="24"/>
      <c r="E12" s="26"/>
      <c r="F12" s="29"/>
      <c r="G12" s="27"/>
      <c r="H12" s="28">
        <v>44561</v>
      </c>
      <c r="I12" s="29">
        <v>-1059941.1</v>
      </c>
      <c r="J12" s="22" t="s">
        <v>21</v>
      </c>
      <c r="K12" s="80" t="s">
        <v>22</v>
      </c>
      <c r="L12" s="7" t="s">
        <v>23</v>
      </c>
    </row>
    <row r="13" ht="18" customHeight="1" spans="1:10">
      <c r="A13" s="30" t="s">
        <v>24</v>
      </c>
      <c r="B13" s="31">
        <f t="shared" ref="B13:G13" si="3">SUM(B7:B10)</f>
        <v>10214655.1376147</v>
      </c>
      <c r="C13" s="32"/>
      <c r="D13" s="33">
        <f t="shared" si="3"/>
        <v>205179.332752294</v>
      </c>
      <c r="E13" s="32"/>
      <c r="F13" s="34">
        <f t="shared" si="3"/>
        <v>715025.859633028</v>
      </c>
      <c r="G13" s="33">
        <f t="shared" si="3"/>
        <v>11133974.1</v>
      </c>
      <c r="H13" s="35"/>
      <c r="I13" s="33">
        <f>SUM(I7:I12)</f>
        <v>7902115.96</v>
      </c>
      <c r="J13" s="22"/>
    </row>
    <row r="14" ht="18" customHeight="1" spans="1:12">
      <c r="A14" s="2" t="s">
        <v>25</v>
      </c>
      <c r="J14" s="4"/>
      <c r="K14" s="4"/>
      <c r="L14" s="81"/>
    </row>
    <row r="15" ht="18" customHeight="1" spans="1:15">
      <c r="A15" s="36" t="s">
        <v>26</v>
      </c>
      <c r="B15" s="21" t="s">
        <v>27</v>
      </c>
      <c r="C15" s="20" t="s">
        <v>28</v>
      </c>
      <c r="D15" s="20" t="s">
        <v>29</v>
      </c>
      <c r="E15" s="20" t="s">
        <v>16</v>
      </c>
      <c r="F15" s="21" t="s">
        <v>30</v>
      </c>
      <c r="G15" s="21" t="s">
        <v>14</v>
      </c>
      <c r="H15" s="20" t="s">
        <v>31</v>
      </c>
      <c r="I15" s="21" t="s">
        <v>32</v>
      </c>
      <c r="J15" s="20" t="s">
        <v>20</v>
      </c>
      <c r="K15" s="82" t="s">
        <v>33</v>
      </c>
      <c r="L15" s="83" t="s">
        <v>34</v>
      </c>
      <c r="M15" s="22" t="s">
        <v>35</v>
      </c>
      <c r="N15" s="22" t="s">
        <v>36</v>
      </c>
      <c r="O15" s="22" t="s">
        <v>37</v>
      </c>
    </row>
    <row r="16" s="1" customFormat="1" ht="18" customHeight="1" spans="1:15">
      <c r="A16" s="37">
        <v>44166</v>
      </c>
      <c r="B16" s="38">
        <f t="shared" ref="B16:B23" si="4">ROUND(G16/(1+E16),2)</f>
        <v>177402.65</v>
      </c>
      <c r="C16" s="39">
        <v>1</v>
      </c>
      <c r="D16" s="40" t="s">
        <v>38</v>
      </c>
      <c r="E16" s="41">
        <v>0.13</v>
      </c>
      <c r="F16" s="38">
        <f t="shared" ref="F16:F21" si="5">ROUND(G16/(1+E16)*E16,2)</f>
        <v>23062.35</v>
      </c>
      <c r="G16" s="38">
        <v>200465</v>
      </c>
      <c r="H16" s="23"/>
      <c r="I16" s="19"/>
      <c r="J16" s="84"/>
      <c r="K16" s="85" t="s">
        <v>39</v>
      </c>
      <c r="L16" s="86" t="s">
        <v>40</v>
      </c>
      <c r="M16" s="87" t="s">
        <v>41</v>
      </c>
      <c r="N16" s="84"/>
      <c r="O16" s="88" t="s">
        <v>112</v>
      </c>
    </row>
    <row r="17" s="1" customFormat="1" ht="18" customHeight="1" spans="1:15">
      <c r="A17" s="42">
        <v>44166</v>
      </c>
      <c r="B17" s="19">
        <f t="shared" si="4"/>
        <v>660174.76</v>
      </c>
      <c r="C17" s="43">
        <v>8</v>
      </c>
      <c r="D17" s="44" t="s">
        <v>38</v>
      </c>
      <c r="E17" s="45">
        <v>0.03</v>
      </c>
      <c r="F17" s="19">
        <f t="shared" si="5"/>
        <v>19805.24</v>
      </c>
      <c r="G17" s="27">
        <f>100000*6+43980+36000</f>
        <v>679980</v>
      </c>
      <c r="H17" s="28"/>
      <c r="I17" s="29"/>
      <c r="J17" s="89"/>
      <c r="K17" s="90" t="s">
        <v>43</v>
      </c>
      <c r="L17" s="86" t="s">
        <v>44</v>
      </c>
      <c r="M17" s="87" t="s">
        <v>45</v>
      </c>
      <c r="N17" s="84"/>
      <c r="O17" s="88" t="s">
        <v>46</v>
      </c>
    </row>
    <row r="18" s="1" customFormat="1" ht="18" customHeight="1" spans="1:15">
      <c r="A18" s="42">
        <v>44185</v>
      </c>
      <c r="B18" s="19">
        <f t="shared" si="4"/>
        <v>1136205.31</v>
      </c>
      <c r="C18" s="43">
        <v>7</v>
      </c>
      <c r="D18" s="44" t="s">
        <v>38</v>
      </c>
      <c r="E18" s="45">
        <v>0.13</v>
      </c>
      <c r="F18" s="19">
        <f t="shared" si="5"/>
        <v>147706.69</v>
      </c>
      <c r="G18" s="27">
        <f>112700*6+112154+112877.1+112877.1+112877.1+112877.1+38981.95+5067.65</f>
        <v>1283912</v>
      </c>
      <c r="H18" s="28"/>
      <c r="I18" s="29"/>
      <c r="J18" s="89"/>
      <c r="K18" s="90" t="s">
        <v>47</v>
      </c>
      <c r="L18" s="86" t="s">
        <v>48</v>
      </c>
      <c r="M18" s="87" t="s">
        <v>49</v>
      </c>
      <c r="N18" s="84"/>
      <c r="O18" s="88"/>
    </row>
    <row r="19" s="1" customFormat="1" ht="18" customHeight="1" spans="1:15">
      <c r="A19" s="42">
        <v>44185</v>
      </c>
      <c r="B19" s="19">
        <f t="shared" si="4"/>
        <v>213842.2</v>
      </c>
      <c r="C19" s="43">
        <v>3</v>
      </c>
      <c r="D19" s="44" t="s">
        <v>38</v>
      </c>
      <c r="E19" s="45">
        <v>0.09</v>
      </c>
      <c r="F19" s="19">
        <f t="shared" si="5"/>
        <v>19245.8</v>
      </c>
      <c r="G19" s="27">
        <f>55045.87+4954.13+86544+86544</f>
        <v>233088</v>
      </c>
      <c r="H19" s="28"/>
      <c r="I19" s="29"/>
      <c r="J19" s="89"/>
      <c r="K19" s="90" t="s">
        <v>47</v>
      </c>
      <c r="L19" s="86" t="s">
        <v>50</v>
      </c>
      <c r="M19" s="87" t="s">
        <v>49</v>
      </c>
      <c r="N19" s="84"/>
      <c r="O19" s="88"/>
    </row>
    <row r="20" s="1" customFormat="1" ht="18" customHeight="1" spans="1:15">
      <c r="A20" s="46">
        <v>44166</v>
      </c>
      <c r="B20" s="47">
        <f t="shared" si="4"/>
        <v>1000000</v>
      </c>
      <c r="C20" s="48">
        <v>10</v>
      </c>
      <c r="D20" s="49" t="s">
        <v>51</v>
      </c>
      <c r="E20" s="50"/>
      <c r="F20" s="47">
        <f t="shared" si="5"/>
        <v>0</v>
      </c>
      <c r="G20" s="51">
        <f>100000*10</f>
        <v>1000000</v>
      </c>
      <c r="H20" s="28"/>
      <c r="I20" s="29"/>
      <c r="J20" s="89"/>
      <c r="K20" s="90" t="s">
        <v>52</v>
      </c>
      <c r="L20" s="91" t="s">
        <v>53</v>
      </c>
      <c r="M20" s="87" t="s">
        <v>54</v>
      </c>
      <c r="N20" s="84"/>
      <c r="O20" s="88" t="s">
        <v>55</v>
      </c>
    </row>
    <row r="21" s="1" customFormat="1" ht="18" customHeight="1" spans="1:15">
      <c r="A21" s="46">
        <v>44166</v>
      </c>
      <c r="B21" s="47">
        <f t="shared" si="4"/>
        <v>1487038.62</v>
      </c>
      <c r="C21" s="48">
        <v>2</v>
      </c>
      <c r="D21" s="49" t="s">
        <v>38</v>
      </c>
      <c r="E21" s="50">
        <v>0.13</v>
      </c>
      <c r="F21" s="47">
        <f t="shared" si="5"/>
        <v>193315.02</v>
      </c>
      <c r="G21" s="51">
        <f>1000000+680353.64</f>
        <v>1680353.64</v>
      </c>
      <c r="H21" s="28"/>
      <c r="I21" s="29"/>
      <c r="J21" s="89"/>
      <c r="K21" s="90" t="s">
        <v>56</v>
      </c>
      <c r="L21" s="86" t="s">
        <v>57</v>
      </c>
      <c r="M21" s="85"/>
      <c r="N21" s="84"/>
      <c r="O21" s="88" t="s">
        <v>58</v>
      </c>
    </row>
    <row r="22" s="1" customFormat="1" ht="18" customHeight="1" spans="1:15">
      <c r="A22" s="42">
        <v>44166</v>
      </c>
      <c r="B22" s="19">
        <f t="shared" si="4"/>
        <v>2925648.51</v>
      </c>
      <c r="C22" s="43">
        <v>23</v>
      </c>
      <c r="D22" s="44" t="s">
        <v>38</v>
      </c>
      <c r="E22" s="45">
        <v>0.01</v>
      </c>
      <c r="F22" s="19">
        <f t="shared" ref="F22:F39" si="6">ROUND(G22/(1+E22)*E22,2)</f>
        <v>29256.49</v>
      </c>
      <c r="G22" s="27">
        <f>100990*23+100000*6+32135</f>
        <v>2954905</v>
      </c>
      <c r="H22" s="28"/>
      <c r="I22" s="29"/>
      <c r="J22" s="89"/>
      <c r="K22" s="90" t="s">
        <v>59</v>
      </c>
      <c r="L22" s="86" t="s">
        <v>60</v>
      </c>
      <c r="M22" s="87" t="s">
        <v>61</v>
      </c>
      <c r="N22" s="84"/>
      <c r="O22" s="88" t="s">
        <v>62</v>
      </c>
    </row>
    <row r="23" s="1" customFormat="1" ht="18" customHeight="1" spans="1:15">
      <c r="A23" s="46">
        <v>44166</v>
      </c>
      <c r="B23" s="47">
        <f t="shared" si="4"/>
        <v>1070000</v>
      </c>
      <c r="C23" s="48">
        <v>11</v>
      </c>
      <c r="D23" s="49" t="s">
        <v>51</v>
      </c>
      <c r="E23" s="50"/>
      <c r="F23" s="47">
        <f t="shared" si="6"/>
        <v>0</v>
      </c>
      <c r="G23" s="51">
        <f>10*100000+70000</f>
        <v>1070000</v>
      </c>
      <c r="H23" s="28"/>
      <c r="I23" s="29"/>
      <c r="J23" s="89"/>
      <c r="K23" s="90" t="s">
        <v>52</v>
      </c>
      <c r="L23" s="86" t="s">
        <v>63</v>
      </c>
      <c r="M23" s="87" t="s">
        <v>54</v>
      </c>
      <c r="N23" s="84"/>
      <c r="O23" s="88" t="s">
        <v>55</v>
      </c>
    </row>
    <row r="24" s="1" customFormat="1" ht="18" customHeight="1" spans="1:15">
      <c r="A24" s="42"/>
      <c r="B24" s="19">
        <f t="shared" ref="B24:B38" si="7">ROUND(G24/(1+E24),2)</f>
        <v>0</v>
      </c>
      <c r="C24" s="43"/>
      <c r="D24" s="44"/>
      <c r="E24" s="52"/>
      <c r="F24" s="19">
        <f t="shared" si="6"/>
        <v>0</v>
      </c>
      <c r="G24" s="27"/>
      <c r="H24" s="23">
        <v>44186</v>
      </c>
      <c r="I24" s="19">
        <v>100000</v>
      </c>
      <c r="J24" s="84" t="s">
        <v>21</v>
      </c>
      <c r="K24" s="90" t="s">
        <v>43</v>
      </c>
      <c r="L24" s="91" t="s">
        <v>64</v>
      </c>
      <c r="M24" s="84"/>
      <c r="N24" s="84"/>
      <c r="O24" s="88"/>
    </row>
    <row r="25" s="1" customFormat="1" ht="18" customHeight="1" spans="1:15">
      <c r="A25" s="42"/>
      <c r="B25" s="19">
        <f t="shared" si="7"/>
        <v>0</v>
      </c>
      <c r="C25" s="43"/>
      <c r="D25" s="44"/>
      <c r="E25" s="52"/>
      <c r="F25" s="19">
        <f t="shared" si="6"/>
        <v>0</v>
      </c>
      <c r="G25" s="27"/>
      <c r="H25" s="23">
        <v>44186</v>
      </c>
      <c r="I25" s="19">
        <v>100000</v>
      </c>
      <c r="J25" s="84" t="s">
        <v>21</v>
      </c>
      <c r="K25" s="90" t="s">
        <v>39</v>
      </c>
      <c r="L25" s="91" t="s">
        <v>65</v>
      </c>
      <c r="M25" s="84"/>
      <c r="N25" s="84"/>
      <c r="O25" s="88"/>
    </row>
    <row r="26" s="1" customFormat="1" ht="18" customHeight="1" spans="1:15">
      <c r="A26" s="42"/>
      <c r="B26" s="19">
        <f t="shared" si="7"/>
        <v>0</v>
      </c>
      <c r="C26" s="43"/>
      <c r="D26" s="44"/>
      <c r="E26" s="52"/>
      <c r="F26" s="19">
        <f t="shared" si="6"/>
        <v>0</v>
      </c>
      <c r="G26" s="27"/>
      <c r="H26" s="23">
        <v>44186</v>
      </c>
      <c r="I26" s="19">
        <v>500000</v>
      </c>
      <c r="J26" s="84" t="s">
        <v>21</v>
      </c>
      <c r="K26" s="90" t="s">
        <v>52</v>
      </c>
      <c r="L26" s="91" t="s">
        <v>53</v>
      </c>
      <c r="M26" s="84"/>
      <c r="N26" s="84"/>
      <c r="O26" s="88"/>
    </row>
    <row r="27" s="1" customFormat="1" ht="18" customHeight="1" spans="1:15">
      <c r="A27" s="42"/>
      <c r="B27" s="19">
        <f t="shared" si="7"/>
        <v>0</v>
      </c>
      <c r="C27" s="43"/>
      <c r="D27" s="44"/>
      <c r="E27" s="52"/>
      <c r="F27" s="19">
        <f t="shared" si="6"/>
        <v>0</v>
      </c>
      <c r="G27" s="27"/>
      <c r="H27" s="23">
        <v>44186</v>
      </c>
      <c r="I27" s="19">
        <v>200000</v>
      </c>
      <c r="J27" s="84" t="s">
        <v>21</v>
      </c>
      <c r="K27" s="90" t="s">
        <v>47</v>
      </c>
      <c r="L27" s="91" t="s">
        <v>66</v>
      </c>
      <c r="M27" s="84"/>
      <c r="N27" s="84"/>
      <c r="O27" s="85"/>
    </row>
    <row r="28" s="1" customFormat="1" ht="18" customHeight="1" spans="1:15">
      <c r="A28" s="42"/>
      <c r="B28" s="19">
        <f t="shared" si="7"/>
        <v>0</v>
      </c>
      <c r="C28" s="43"/>
      <c r="D28" s="44"/>
      <c r="E28" s="52"/>
      <c r="F28" s="19">
        <f t="shared" si="6"/>
        <v>0</v>
      </c>
      <c r="G28" s="27"/>
      <c r="H28" s="23">
        <v>44186</v>
      </c>
      <c r="I28" s="19">
        <v>900000</v>
      </c>
      <c r="J28" s="84" t="s">
        <v>21</v>
      </c>
      <c r="K28" s="90" t="s">
        <v>59</v>
      </c>
      <c r="L28" s="91" t="s">
        <v>67</v>
      </c>
      <c r="M28" s="84"/>
      <c r="N28" s="84"/>
      <c r="O28" s="85"/>
    </row>
    <row r="29" s="1" customFormat="1" ht="18" customHeight="1" spans="1:15">
      <c r="A29" s="42"/>
      <c r="B29" s="19">
        <f t="shared" si="7"/>
        <v>0</v>
      </c>
      <c r="C29" s="43"/>
      <c r="D29" s="44"/>
      <c r="E29" s="52"/>
      <c r="F29" s="19">
        <f t="shared" si="6"/>
        <v>0</v>
      </c>
      <c r="G29" s="27"/>
      <c r="H29" s="23">
        <v>44195</v>
      </c>
      <c r="I29" s="19">
        <v>2054905</v>
      </c>
      <c r="J29" s="84" t="s">
        <v>21</v>
      </c>
      <c r="K29" s="90" t="s">
        <v>59</v>
      </c>
      <c r="L29" s="92" t="s">
        <v>68</v>
      </c>
      <c r="M29" s="84"/>
      <c r="N29" s="84"/>
      <c r="O29" s="85"/>
    </row>
    <row r="30" s="1" customFormat="1" ht="18" customHeight="1" spans="1:15">
      <c r="A30" s="42"/>
      <c r="B30" s="19">
        <f t="shared" si="7"/>
        <v>0</v>
      </c>
      <c r="C30" s="43"/>
      <c r="D30" s="44"/>
      <c r="E30" s="52"/>
      <c r="F30" s="19">
        <f t="shared" si="6"/>
        <v>0</v>
      </c>
      <c r="G30" s="27"/>
      <c r="H30" s="23">
        <v>44195</v>
      </c>
      <c r="I30" s="19">
        <v>1570000</v>
      </c>
      <c r="J30" s="84" t="s">
        <v>21</v>
      </c>
      <c r="K30" s="90" t="s">
        <v>52</v>
      </c>
      <c r="L30" s="92" t="s">
        <v>69</v>
      </c>
      <c r="M30" s="84"/>
      <c r="N30" s="84"/>
      <c r="O30" s="85"/>
    </row>
    <row r="31" s="1" customFormat="1" ht="18" customHeight="1" spans="1:15">
      <c r="A31" s="42"/>
      <c r="B31" s="19">
        <f t="shared" si="7"/>
        <v>0</v>
      </c>
      <c r="C31" s="43"/>
      <c r="D31" s="44"/>
      <c r="E31" s="52"/>
      <c r="F31" s="19">
        <f t="shared" si="6"/>
        <v>0</v>
      </c>
      <c r="G31" s="27"/>
      <c r="H31" s="23">
        <v>44195</v>
      </c>
      <c r="I31" s="19">
        <v>500000</v>
      </c>
      <c r="J31" s="84" t="s">
        <v>21</v>
      </c>
      <c r="K31" s="90" t="s">
        <v>47</v>
      </c>
      <c r="L31" s="92" t="s">
        <v>70</v>
      </c>
      <c r="M31" s="84"/>
      <c r="N31" s="84"/>
      <c r="O31" s="85"/>
    </row>
    <row r="32" s="1" customFormat="1" ht="18" customHeight="1" spans="1:15">
      <c r="A32" s="42"/>
      <c r="B32" s="19">
        <f t="shared" si="7"/>
        <v>0</v>
      </c>
      <c r="C32" s="43"/>
      <c r="D32" s="44"/>
      <c r="E32" s="52"/>
      <c r="F32" s="19">
        <f t="shared" si="6"/>
        <v>0</v>
      </c>
      <c r="G32" s="27"/>
      <c r="H32" s="23">
        <v>44195</v>
      </c>
      <c r="I32" s="19">
        <v>300000</v>
      </c>
      <c r="J32" s="84" t="s">
        <v>21</v>
      </c>
      <c r="K32" s="90" t="s">
        <v>43</v>
      </c>
      <c r="L32" s="92" t="s">
        <v>64</v>
      </c>
      <c r="M32" s="84"/>
      <c r="N32" s="84"/>
      <c r="O32" s="85"/>
    </row>
    <row r="33" s="1" customFormat="1" ht="18" customHeight="1" spans="1:15">
      <c r="A33" s="42"/>
      <c r="B33" s="19"/>
      <c r="C33" s="43"/>
      <c r="D33" s="44"/>
      <c r="E33" s="52"/>
      <c r="F33" s="19"/>
      <c r="G33" s="27"/>
      <c r="H33" s="23">
        <v>44211</v>
      </c>
      <c r="I33" s="19">
        <v>600000</v>
      </c>
      <c r="J33" s="84" t="s">
        <v>21</v>
      </c>
      <c r="K33" s="90" t="s">
        <v>71</v>
      </c>
      <c r="L33" s="92" t="s">
        <v>72</v>
      </c>
      <c r="M33" s="84"/>
      <c r="N33" s="84"/>
      <c r="O33" s="85"/>
    </row>
    <row r="34" s="1" customFormat="1" ht="18" customHeight="1" spans="1:15">
      <c r="A34" s="42"/>
      <c r="B34" s="19">
        <f t="shared" ref="B34:B39" si="8">ROUND(G34/(1+E34),2)</f>
        <v>0</v>
      </c>
      <c r="C34" s="43"/>
      <c r="D34" s="44"/>
      <c r="E34" s="52"/>
      <c r="F34" s="19">
        <f t="shared" ref="F34:F40" si="9">ROUND(G34/(1+E34)*E34,2)</f>
        <v>0</v>
      </c>
      <c r="G34" s="27"/>
      <c r="H34" s="23"/>
      <c r="I34" s="19">
        <v>400</v>
      </c>
      <c r="J34" s="84" t="s">
        <v>73</v>
      </c>
      <c r="K34" s="90" t="s">
        <v>74</v>
      </c>
      <c r="L34" s="93"/>
      <c r="M34" s="84"/>
      <c r="N34" s="84"/>
      <c r="O34" s="85"/>
    </row>
    <row r="35" s="1" customFormat="1" ht="18" customHeight="1" spans="1:15">
      <c r="A35" s="42"/>
      <c r="B35" s="19">
        <f t="shared" si="8"/>
        <v>0</v>
      </c>
      <c r="C35" s="43"/>
      <c r="D35" s="44"/>
      <c r="E35" s="52"/>
      <c r="F35" s="19">
        <f t="shared" si="9"/>
        <v>0</v>
      </c>
      <c r="G35" s="27"/>
      <c r="H35" s="23"/>
      <c r="I35" s="19">
        <v>700</v>
      </c>
      <c r="J35" s="84" t="s">
        <v>73</v>
      </c>
      <c r="K35" s="90" t="s">
        <v>74</v>
      </c>
      <c r="L35" s="91"/>
      <c r="M35" s="84"/>
      <c r="N35" s="84"/>
      <c r="O35" s="85"/>
    </row>
    <row r="36" s="1" customFormat="1" ht="18" customHeight="1" spans="1:15">
      <c r="A36" s="42"/>
      <c r="B36" s="19">
        <f t="shared" si="8"/>
        <v>0</v>
      </c>
      <c r="C36" s="43"/>
      <c r="D36" s="44"/>
      <c r="E36" s="52"/>
      <c r="F36" s="19">
        <f t="shared" si="9"/>
        <v>0</v>
      </c>
      <c r="G36" s="27"/>
      <c r="H36" s="23"/>
      <c r="I36" s="19">
        <v>-228808</v>
      </c>
      <c r="J36" s="84" t="s">
        <v>75</v>
      </c>
      <c r="K36" s="90" t="s">
        <v>76</v>
      </c>
      <c r="L36" s="91"/>
      <c r="M36" s="84"/>
      <c r="N36" s="84"/>
      <c r="O36" s="85"/>
    </row>
    <row r="37" s="1" customFormat="1" ht="18" customHeight="1" spans="1:15">
      <c r="A37" s="42"/>
      <c r="B37" s="19">
        <f t="shared" si="8"/>
        <v>0</v>
      </c>
      <c r="C37" s="43"/>
      <c r="D37" s="44"/>
      <c r="E37" s="52"/>
      <c r="F37" s="19">
        <f t="shared" si="9"/>
        <v>0</v>
      </c>
      <c r="G37" s="27"/>
      <c r="H37" s="23"/>
      <c r="I37" s="94">
        <v>165066.9</v>
      </c>
      <c r="J37" s="89" t="s">
        <v>73</v>
      </c>
      <c r="K37" s="90" t="s">
        <v>77</v>
      </c>
      <c r="L37" s="91"/>
      <c r="M37" s="84"/>
      <c r="N37" s="84"/>
      <c r="O37" s="85"/>
    </row>
    <row r="38" s="1" customFormat="1" ht="18" customHeight="1" spans="1:15">
      <c r="A38" s="42"/>
      <c r="B38" s="19">
        <f t="shared" si="8"/>
        <v>0</v>
      </c>
      <c r="C38" s="43"/>
      <c r="D38" s="44"/>
      <c r="E38" s="52"/>
      <c r="F38" s="19">
        <f t="shared" si="9"/>
        <v>0</v>
      </c>
      <c r="G38" s="27"/>
      <c r="H38" s="23"/>
      <c r="I38" s="94">
        <v>-295511.16</v>
      </c>
      <c r="J38" s="89" t="s">
        <v>75</v>
      </c>
      <c r="K38" s="90" t="s">
        <v>78</v>
      </c>
      <c r="L38" s="91"/>
      <c r="M38" s="84"/>
      <c r="N38" s="84"/>
      <c r="O38" s="85"/>
    </row>
    <row r="39" s="1" customFormat="1" ht="18" customHeight="1" spans="1:15">
      <c r="A39" s="42"/>
      <c r="B39" s="19">
        <f t="shared" si="8"/>
        <v>10599.41</v>
      </c>
      <c r="C39" s="43"/>
      <c r="D39" s="44"/>
      <c r="E39" s="52"/>
      <c r="F39" s="19">
        <f t="shared" si="9"/>
        <v>0</v>
      </c>
      <c r="G39" s="27">
        <f>I39</f>
        <v>10599.41</v>
      </c>
      <c r="H39" s="23"/>
      <c r="I39" s="94">
        <v>10599.41</v>
      </c>
      <c r="J39" s="89" t="s">
        <v>73</v>
      </c>
      <c r="K39" s="90" t="s">
        <v>79</v>
      </c>
      <c r="L39" s="91"/>
      <c r="M39" s="84"/>
      <c r="N39" s="84"/>
      <c r="O39" s="85"/>
    </row>
    <row r="40" s="1" customFormat="1" ht="18" customHeight="1" spans="1:15">
      <c r="A40" s="42"/>
      <c r="B40" s="19">
        <f t="shared" ref="B37:B44" si="10">ROUND(G40/(1+E40),2)</f>
        <v>0</v>
      </c>
      <c r="C40" s="43"/>
      <c r="D40" s="44"/>
      <c r="E40" s="52"/>
      <c r="F40" s="19">
        <f t="shared" si="9"/>
        <v>0</v>
      </c>
      <c r="G40" s="27"/>
      <c r="H40" s="23"/>
      <c r="I40" s="94">
        <v>10599.411</v>
      </c>
      <c r="J40" s="89" t="s">
        <v>73</v>
      </c>
      <c r="K40" s="90" t="s">
        <v>80</v>
      </c>
      <c r="L40" s="91"/>
      <c r="M40" s="84"/>
      <c r="N40" s="84"/>
      <c r="O40" s="85"/>
    </row>
    <row r="41" s="1" customFormat="1" ht="18" customHeight="1" spans="1:15">
      <c r="A41" s="42"/>
      <c r="B41" s="19">
        <f t="shared" si="10"/>
        <v>0</v>
      </c>
      <c r="C41" s="43"/>
      <c r="D41" s="44"/>
      <c r="E41" s="52"/>
      <c r="F41" s="19">
        <f t="shared" ref="F37:F43" si="11">ROUND(G41/(1+E41)*E41,2)</f>
        <v>0</v>
      </c>
      <c r="G41" s="27"/>
      <c r="H41" s="23"/>
      <c r="I41" s="94">
        <v>6831</v>
      </c>
      <c r="J41" s="89" t="s">
        <v>73</v>
      </c>
      <c r="K41" s="90" t="s">
        <v>81</v>
      </c>
      <c r="L41" s="91"/>
      <c r="M41" s="84"/>
      <c r="N41" s="84"/>
      <c r="O41" s="85"/>
    </row>
    <row r="42" s="1" customFormat="1" ht="18" customHeight="1" spans="1:15">
      <c r="A42" s="42"/>
      <c r="B42" s="19">
        <f t="shared" si="10"/>
        <v>0</v>
      </c>
      <c r="C42" s="43"/>
      <c r="D42" s="44"/>
      <c r="E42" s="52"/>
      <c r="F42" s="19">
        <f t="shared" si="11"/>
        <v>0</v>
      </c>
      <c r="G42" s="27"/>
      <c r="H42" s="23"/>
      <c r="I42" s="94">
        <v>57509.87</v>
      </c>
      <c r="J42" s="89" t="s">
        <v>73</v>
      </c>
      <c r="K42" s="90" t="s">
        <v>82</v>
      </c>
      <c r="L42" s="91"/>
      <c r="M42" s="84"/>
      <c r="N42" s="84"/>
      <c r="O42" s="85"/>
    </row>
    <row r="43" s="1" customFormat="1" ht="18" customHeight="1" spans="1:15">
      <c r="A43" s="42"/>
      <c r="B43" s="19">
        <f t="shared" si="10"/>
        <v>0</v>
      </c>
      <c r="C43" s="43"/>
      <c r="D43" s="44"/>
      <c r="E43" s="52"/>
      <c r="F43" s="19">
        <f t="shared" si="11"/>
        <v>0</v>
      </c>
      <c r="G43" s="27"/>
      <c r="H43" s="23"/>
      <c r="I43" s="94">
        <v>600</v>
      </c>
      <c r="J43" s="89" t="s">
        <v>73</v>
      </c>
      <c r="K43" s="90" t="s">
        <v>74</v>
      </c>
      <c r="L43" s="86"/>
      <c r="M43" s="84"/>
      <c r="N43" s="84"/>
      <c r="O43" s="85"/>
    </row>
    <row r="44" s="1" customFormat="1" ht="18" customHeight="1" spans="1:15">
      <c r="A44" s="42"/>
      <c r="B44" s="19">
        <f t="shared" si="10"/>
        <v>100740.33</v>
      </c>
      <c r="C44" s="43"/>
      <c r="D44" s="44"/>
      <c r="E44" s="52"/>
      <c r="F44" s="19">
        <f t="shared" ref="F43:F50" si="12">ROUND(G44/(1+E44)*E44,2)</f>
        <v>0</v>
      </c>
      <c r="G44" s="27">
        <f>I44</f>
        <v>100740.33</v>
      </c>
      <c r="H44" s="28"/>
      <c r="I44" s="94">
        <v>100740.33</v>
      </c>
      <c r="J44" s="89" t="s">
        <v>73</v>
      </c>
      <c r="K44" s="90" t="s">
        <v>83</v>
      </c>
      <c r="L44" s="86"/>
      <c r="M44" s="84"/>
      <c r="N44" s="84"/>
      <c r="O44" s="85"/>
    </row>
    <row r="45" s="1" customFormat="1" ht="18" customHeight="1" spans="1:15">
      <c r="A45" s="42"/>
      <c r="B45" s="19">
        <f t="shared" ref="B43:B51" si="13">ROUND(G45/(1+E45),2)</f>
        <v>0</v>
      </c>
      <c r="C45" s="43"/>
      <c r="D45" s="44"/>
      <c r="E45" s="52"/>
      <c r="F45" s="19">
        <f t="shared" si="12"/>
        <v>0</v>
      </c>
      <c r="G45" s="27"/>
      <c r="H45" s="28"/>
      <c r="I45" s="94">
        <v>200</v>
      </c>
      <c r="J45" s="89" t="s">
        <v>73</v>
      </c>
      <c r="K45" s="90" t="s">
        <v>74</v>
      </c>
      <c r="L45" s="86"/>
      <c r="M45" s="84"/>
      <c r="N45" s="84"/>
      <c r="O45" s="85"/>
    </row>
    <row r="46" s="1" customFormat="1" ht="18" customHeight="1" spans="1:15">
      <c r="A46" s="42"/>
      <c r="B46" s="19">
        <f t="shared" si="13"/>
        <v>0</v>
      </c>
      <c r="C46" s="43"/>
      <c r="D46" s="44"/>
      <c r="E46" s="52"/>
      <c r="F46" s="19">
        <f t="shared" si="12"/>
        <v>0</v>
      </c>
      <c r="G46" s="27"/>
      <c r="H46" s="28"/>
      <c r="I46" s="94">
        <v>660000</v>
      </c>
      <c r="J46" s="89" t="s">
        <v>84</v>
      </c>
      <c r="K46" s="90" t="s">
        <v>85</v>
      </c>
      <c r="L46" s="86"/>
      <c r="M46" s="84"/>
      <c r="N46" s="84"/>
      <c r="O46" s="85"/>
    </row>
    <row r="47" s="1" customFormat="1" ht="18" customHeight="1" spans="1:15">
      <c r="A47" s="42"/>
      <c r="B47" s="19">
        <f t="shared" si="13"/>
        <v>0</v>
      </c>
      <c r="C47" s="43"/>
      <c r="D47" s="44"/>
      <c r="E47" s="52"/>
      <c r="F47" s="19">
        <f t="shared" si="12"/>
        <v>0</v>
      </c>
      <c r="G47" s="27"/>
      <c r="H47" s="28"/>
      <c r="I47" s="94">
        <v>100740.33</v>
      </c>
      <c r="J47" s="89" t="s">
        <v>73</v>
      </c>
      <c r="K47" s="90" t="s">
        <v>86</v>
      </c>
      <c r="L47" s="86"/>
      <c r="M47" s="84"/>
      <c r="N47" s="84"/>
      <c r="O47" s="85"/>
    </row>
    <row r="48" s="1" customFormat="1" ht="18" customHeight="1" spans="1:15">
      <c r="A48" s="42"/>
      <c r="B48" s="19">
        <f t="shared" si="13"/>
        <v>0</v>
      </c>
      <c r="C48" s="43"/>
      <c r="D48" s="44"/>
      <c r="E48" s="52"/>
      <c r="F48" s="19">
        <f t="shared" si="12"/>
        <v>0</v>
      </c>
      <c r="G48" s="27"/>
      <c r="H48" s="28"/>
      <c r="I48" s="24">
        <v>63741.37</v>
      </c>
      <c r="J48" s="89" t="s">
        <v>73</v>
      </c>
      <c r="K48" s="90" t="s">
        <v>87</v>
      </c>
      <c r="L48" s="86"/>
      <c r="M48" s="84"/>
      <c r="N48" s="84"/>
      <c r="O48" s="85"/>
    </row>
    <row r="49" s="1" customFormat="1" ht="18" customHeight="1" spans="1:15">
      <c r="A49" s="42"/>
      <c r="B49" s="19">
        <f t="shared" si="13"/>
        <v>0</v>
      </c>
      <c r="C49" s="43"/>
      <c r="D49" s="44"/>
      <c r="E49" s="52"/>
      <c r="F49" s="19">
        <f t="shared" si="12"/>
        <v>0</v>
      </c>
      <c r="G49" s="27"/>
      <c r="H49" s="28"/>
      <c r="I49" s="24">
        <v>2638</v>
      </c>
      <c r="J49" s="89" t="s">
        <v>73</v>
      </c>
      <c r="K49" s="90" t="s">
        <v>88</v>
      </c>
      <c r="L49" s="86"/>
      <c r="M49" s="84"/>
      <c r="N49" s="84"/>
      <c r="O49" s="85"/>
    </row>
    <row r="50" s="1" customFormat="1" ht="18" customHeight="1" spans="1:15">
      <c r="A50" s="42"/>
      <c r="B50" s="19">
        <f t="shared" si="13"/>
        <v>0</v>
      </c>
      <c r="C50" s="43"/>
      <c r="D50" s="44"/>
      <c r="E50" s="52"/>
      <c r="F50" s="19">
        <f t="shared" si="12"/>
        <v>0</v>
      </c>
      <c r="G50" s="27"/>
      <c r="H50" s="28"/>
      <c r="I50" s="29">
        <v>223094.806957798</v>
      </c>
      <c r="J50" s="89" t="s">
        <v>73</v>
      </c>
      <c r="K50" s="90" t="s">
        <v>90</v>
      </c>
      <c r="L50" s="86"/>
      <c r="M50" s="84"/>
      <c r="N50" s="84"/>
      <c r="O50" s="85"/>
    </row>
    <row r="51" s="1" customFormat="1" ht="18" customHeight="1" spans="1:15">
      <c r="A51" s="42"/>
      <c r="B51" s="19">
        <f t="shared" si="13"/>
        <v>0</v>
      </c>
      <c r="C51" s="43"/>
      <c r="D51" s="44"/>
      <c r="E51" s="52"/>
      <c r="F51" s="19">
        <f t="shared" ref="F50:F52" si="14">ROUND(G51/(1+E51)*E51,2)</f>
        <v>0</v>
      </c>
      <c r="G51" s="27"/>
      <c r="H51" s="28"/>
      <c r="I51" s="29"/>
      <c r="J51" s="89"/>
      <c r="K51" s="90"/>
      <c r="L51" s="86"/>
      <c r="M51" s="84"/>
      <c r="N51" s="84"/>
      <c r="O51" s="85"/>
    </row>
    <row r="52" s="1" customFormat="1" ht="18" customHeight="1" spans="1:15">
      <c r="A52" s="42"/>
      <c r="B52" s="19">
        <f t="shared" ref="B50:B52" si="15">ROUND(G52/(1+E52),2)</f>
        <v>0</v>
      </c>
      <c r="C52" s="43"/>
      <c r="D52" s="44"/>
      <c r="E52" s="52"/>
      <c r="F52" s="19">
        <f t="shared" si="14"/>
        <v>0</v>
      </c>
      <c r="G52" s="27"/>
      <c r="H52" s="28"/>
      <c r="I52" s="29"/>
      <c r="J52" s="89"/>
      <c r="K52" s="90"/>
      <c r="L52" s="86"/>
      <c r="M52" s="84"/>
      <c r="N52" s="84"/>
      <c r="O52" s="85"/>
    </row>
    <row r="53" ht="18" customHeight="1" spans="1:15">
      <c r="A53" s="32" t="s">
        <v>24</v>
      </c>
      <c r="B53" s="31">
        <f t="shared" ref="B53:G53" si="16">SUM(B16:B52)</f>
        <v>8781651.79</v>
      </c>
      <c r="C53" s="32"/>
      <c r="D53" s="53"/>
      <c r="E53" s="53"/>
      <c r="F53" s="34">
        <f t="shared" si="16"/>
        <v>432391.59</v>
      </c>
      <c r="G53" s="54">
        <f t="shared" si="16"/>
        <v>9214043.38</v>
      </c>
      <c r="H53" s="55"/>
      <c r="I53" s="33">
        <f>SUM(I16:I52)</f>
        <v>7704047.2679578</v>
      </c>
      <c r="J53" s="95"/>
      <c r="K53" s="53"/>
      <c r="L53" s="96"/>
      <c r="M53" s="89"/>
      <c r="N53" s="89"/>
      <c r="O53" s="35"/>
    </row>
    <row r="54" ht="18" customHeight="1" spans="1:14">
      <c r="A54" s="56" t="s">
        <v>91</v>
      </c>
      <c r="B54" s="57">
        <f>B13*0.96</f>
        <v>9806068.93211009</v>
      </c>
      <c r="C54" s="56"/>
      <c r="D54" s="58"/>
      <c r="E54" s="58"/>
      <c r="F54" s="57"/>
      <c r="G54" s="57">
        <f>G13-G53</f>
        <v>1919930.72</v>
      </c>
      <c r="H54" s="22" t="s">
        <v>92</v>
      </c>
      <c r="I54" s="33">
        <f>I13-I53</f>
        <v>198068.692042201</v>
      </c>
      <c r="J54" s="6"/>
      <c r="K54" s="97"/>
      <c r="M54" s="98"/>
      <c r="N54" s="98"/>
    </row>
    <row r="55" ht="18" customHeight="1" spans="1:14">
      <c r="A55" s="56" t="s">
        <v>93</v>
      </c>
      <c r="B55" s="57">
        <f>B54-B53</f>
        <v>1024417.14211009</v>
      </c>
      <c r="C55" s="56"/>
      <c r="D55" s="58"/>
      <c r="E55" s="58"/>
      <c r="F55" s="57"/>
      <c r="G55" s="57"/>
      <c r="H55" s="59"/>
      <c r="I55" s="57"/>
      <c r="J55" s="6"/>
      <c r="K55" s="97"/>
      <c r="M55" s="98"/>
      <c r="N55" s="98"/>
    </row>
    <row r="56" ht="18" customHeight="1" spans="1:3">
      <c r="A56" s="2" t="s">
        <v>94</v>
      </c>
      <c r="C56" s="2"/>
    </row>
    <row r="57" ht="18" customHeight="1" spans="1:9">
      <c r="A57" s="22" t="s">
        <v>95</v>
      </c>
      <c r="B57" s="21" t="s">
        <v>96</v>
      </c>
      <c r="C57" s="35"/>
      <c r="D57" s="22" t="s">
        <v>95</v>
      </c>
      <c r="E57" s="20" t="s">
        <v>16</v>
      </c>
      <c r="F57" s="21" t="s">
        <v>96</v>
      </c>
      <c r="G57" s="60" t="s">
        <v>97</v>
      </c>
      <c r="H57" s="60" t="s">
        <v>98</v>
      </c>
      <c r="I57" s="6"/>
    </row>
    <row r="58" ht="18" customHeight="1" spans="1:9">
      <c r="A58" s="35" t="s">
        <v>99</v>
      </c>
      <c r="B58" s="19">
        <f>(B54-B53)*0.25</f>
        <v>256104.285527522</v>
      </c>
      <c r="C58" s="35"/>
      <c r="D58" s="30" t="s">
        <v>100</v>
      </c>
      <c r="E58" s="22" t="s">
        <v>101</v>
      </c>
      <c r="F58" s="34">
        <f>F13-F53</f>
        <v>282634.269633028</v>
      </c>
      <c r="G58" s="61">
        <f>F7</f>
        <v>199191.791926606</v>
      </c>
      <c r="H58" s="61">
        <f>SUM(F8:F10)-SUM(F16:F23)</f>
        <v>83442.4777064217</v>
      </c>
      <c r="I58" s="6"/>
    </row>
    <row r="59" ht="18" customHeight="1" spans="1:9">
      <c r="A59" s="35" t="s">
        <v>102</v>
      </c>
      <c r="B59" s="62"/>
      <c r="C59" s="35"/>
      <c r="D59" s="63" t="s">
        <v>103</v>
      </c>
      <c r="E59" s="64">
        <v>0.07</v>
      </c>
      <c r="F59" s="29">
        <f>F58*E59</f>
        <v>19784.398874312</v>
      </c>
      <c r="G59" s="65">
        <f>G58*E59</f>
        <v>13943.4254348624</v>
      </c>
      <c r="H59" s="65">
        <f>H58*E59</f>
        <v>5840.97343944952</v>
      </c>
      <c r="I59" s="6"/>
    </row>
    <row r="60" ht="18" customHeight="1" spans="1:14">
      <c r="A60" s="35" t="s">
        <v>104</v>
      </c>
      <c r="B60" s="62"/>
      <c r="C60" s="35"/>
      <c r="D60" s="63" t="s">
        <v>105</v>
      </c>
      <c r="E60" s="64">
        <v>0.03</v>
      </c>
      <c r="F60" s="29">
        <f>F58*E60</f>
        <v>8479.02808899084</v>
      </c>
      <c r="G60" s="65">
        <f>G58*E60</f>
        <v>5975.75375779818</v>
      </c>
      <c r="H60" s="65">
        <f>H58*E60</f>
        <v>2503.27433119265</v>
      </c>
      <c r="I60" s="6"/>
      <c r="K60" s="97"/>
      <c r="M60" s="98"/>
      <c r="N60" s="98"/>
    </row>
    <row r="61" ht="18" customHeight="1" spans="1:14">
      <c r="A61" s="35"/>
      <c r="B61" s="29"/>
      <c r="C61" s="35"/>
      <c r="D61" s="63" t="s">
        <v>106</v>
      </c>
      <c r="E61" s="64">
        <v>0.02</v>
      </c>
      <c r="F61" s="29">
        <f>F58*E61</f>
        <v>5652.68539266056</v>
      </c>
      <c r="G61" s="65">
        <f>G58*E61</f>
        <v>3983.83583853212</v>
      </c>
      <c r="H61" s="65">
        <f>H58*E61</f>
        <v>1668.84955412843</v>
      </c>
      <c r="I61" s="6"/>
      <c r="K61" s="97"/>
      <c r="M61" s="98"/>
      <c r="N61" s="98"/>
    </row>
    <row r="62" ht="18" customHeight="1" spans="1:9">
      <c r="A62" s="30" t="s">
        <v>107</v>
      </c>
      <c r="B62" s="31">
        <f t="shared" ref="B62:H62" si="17">SUM(B58:B61)</f>
        <v>256104.285527522</v>
      </c>
      <c r="C62" s="35"/>
      <c r="D62" s="36" t="s">
        <v>107</v>
      </c>
      <c r="E62" s="30"/>
      <c r="F62" s="34">
        <f t="shared" si="17"/>
        <v>316550.381988991</v>
      </c>
      <c r="G62" s="66">
        <f t="shared" si="17"/>
        <v>223094.806957799</v>
      </c>
      <c r="H62" s="66">
        <f t="shared" si="17"/>
        <v>93455.5750311923</v>
      </c>
      <c r="I62" s="6"/>
    </row>
    <row r="63" ht="18" customHeight="1" spans="1:9">
      <c r="A63" s="67"/>
      <c r="B63" s="68"/>
      <c r="C63" s="6"/>
      <c r="D63" s="35" t="s">
        <v>102</v>
      </c>
      <c r="E63" s="69">
        <v>0.0003</v>
      </c>
      <c r="F63" s="70">
        <f>G13*E63</f>
        <v>3340.19223</v>
      </c>
      <c r="G63" s="71">
        <f>G7*E63</f>
        <v>930.510228</v>
      </c>
      <c r="H63" s="72">
        <f>SUM(G8:G10)*E63</f>
        <v>2409.682002</v>
      </c>
      <c r="I63" s="6"/>
    </row>
    <row r="64" ht="18" customHeight="1" spans="1:9">
      <c r="A64" s="67"/>
      <c r="B64" s="68"/>
      <c r="C64" s="6"/>
      <c r="D64" s="73" t="s">
        <v>104</v>
      </c>
      <c r="E64" s="74">
        <v>0.0006</v>
      </c>
      <c r="F64" s="71">
        <f>B13*E64</f>
        <v>6128.79308256882</v>
      </c>
      <c r="G64" s="71">
        <f>B7*E64</f>
        <v>1707.35821651376</v>
      </c>
      <c r="H64" s="75">
        <f>SUM(B8:B10)*E64</f>
        <v>4421.43486605505</v>
      </c>
      <c r="I64" s="6"/>
    </row>
    <row r="65" ht="18" customHeight="1" spans="3:9">
      <c r="C65" s="2"/>
      <c r="D65" s="32" t="s">
        <v>99</v>
      </c>
      <c r="E65" s="53">
        <v>0.01</v>
      </c>
      <c r="F65" s="33">
        <f>G13*E65</f>
        <v>111339.741</v>
      </c>
      <c r="G65" s="29">
        <f>D2*E65</f>
        <v>100740.33</v>
      </c>
      <c r="H65" s="99">
        <f>(G13-D2)*E65</f>
        <v>10599.411</v>
      </c>
      <c r="I65" s="6"/>
    </row>
    <row r="66" ht="18" customHeight="1" spans="3:9">
      <c r="C66" s="2"/>
      <c r="D66" s="32" t="s">
        <v>108</v>
      </c>
      <c r="E66" s="53">
        <v>0.25</v>
      </c>
      <c r="F66" s="33">
        <f>B58</f>
        <v>256104.285527522</v>
      </c>
      <c r="G66" s="100">
        <v>660000</v>
      </c>
      <c r="H66" s="99">
        <v>-295511.156972477</v>
      </c>
      <c r="I66" s="6"/>
    </row>
    <row r="67" ht="23" customHeight="1" spans="2:8">
      <c r="B67" s="101" t="s">
        <v>109</v>
      </c>
      <c r="C67" s="2"/>
      <c r="D67" s="22" t="s">
        <v>95</v>
      </c>
      <c r="E67" s="20" t="s">
        <v>16</v>
      </c>
      <c r="F67" s="21"/>
      <c r="G67" s="21" t="s">
        <v>110</v>
      </c>
      <c r="H67" s="21" t="s">
        <v>111</v>
      </c>
    </row>
    <row r="68" ht="23" customHeight="1" spans="3:8">
      <c r="C68" s="2"/>
      <c r="D68" s="30" t="s">
        <v>100</v>
      </c>
      <c r="E68" s="22" t="s">
        <v>101</v>
      </c>
      <c r="F68" s="34"/>
      <c r="G68" s="34">
        <f>B7*0.02</f>
        <v>56911.9405504587</v>
      </c>
      <c r="H68" s="34">
        <f>SUM(D8:D10)</f>
        <v>147381.162201835</v>
      </c>
    </row>
    <row r="69" ht="23" customHeight="1" spans="3:8">
      <c r="C69" s="2"/>
      <c r="D69" s="63" t="s">
        <v>103</v>
      </c>
      <c r="E69" s="64">
        <v>0.07</v>
      </c>
      <c r="F69" s="29"/>
      <c r="G69" s="29">
        <f>G68*E69</f>
        <v>3983.83583853211</v>
      </c>
      <c r="H69" s="29">
        <f>H68*E69</f>
        <v>10316.6813541285</v>
      </c>
    </row>
    <row r="70" ht="23" customHeight="1" spans="3:8">
      <c r="C70" s="2"/>
      <c r="D70" s="63" t="s">
        <v>105</v>
      </c>
      <c r="E70" s="64">
        <v>0.03</v>
      </c>
      <c r="F70" s="29"/>
      <c r="G70" s="29">
        <f>G68*E70</f>
        <v>1707.35821651376</v>
      </c>
      <c r="H70" s="29">
        <f>H68*E70</f>
        <v>4421.43486605505</v>
      </c>
    </row>
    <row r="71" ht="23" customHeight="1" spans="3:8">
      <c r="C71" s="2"/>
      <c r="D71" s="63" t="s">
        <v>106</v>
      </c>
      <c r="E71" s="64">
        <v>0.02</v>
      </c>
      <c r="F71" s="29"/>
      <c r="G71" s="29">
        <f>G68*E71</f>
        <v>1138.23881100917</v>
      </c>
      <c r="H71" s="29">
        <f>H68*E71</f>
        <v>2947.6232440367</v>
      </c>
    </row>
    <row r="72" ht="23" customHeight="1" spans="4:8">
      <c r="D72" s="36" t="s">
        <v>107</v>
      </c>
      <c r="E72" s="30"/>
      <c r="F72" s="34"/>
      <c r="G72" s="34">
        <f>SUM(G68:G71)</f>
        <v>63741.3734165137</v>
      </c>
      <c r="H72" s="34">
        <f>SUM(SUM(H68:H71))</f>
        <v>165066.901666055</v>
      </c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2021-08-31T06:40:20Z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29D534729BFB454390B1AACC25ED946F</vt:lpwstr>
  </property>
</Properties>
</file>