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1次 " sheetId="1" r:id="rId1"/>
    <sheet name="2次" sheetId="2" r:id="rId2"/>
    <sheet name="4次" sheetId="3" r:id="rId3"/>
    <sheet name="5次" sheetId="4" r:id="rId4"/>
    <sheet name="5.1" sheetId="5" r:id="rId5"/>
    <sheet name="5.2" sheetId="6" r:id="rId6"/>
    <sheet name="Sheet1" sheetId="7" r:id="rId7"/>
  </sheets>
  <definedNames>
    <definedName name="_xlnm._FilterDatabase" localSheetId="5" hidden="1">'5.2'!$A$16:$O$40</definedName>
    <definedName name="_xlnm._FilterDatabase" localSheetId="3" hidden="1">'5次'!$A$31:$O$56</definedName>
    <definedName name="_xlnm._FilterDatabase" localSheetId="4" hidden="1">'5.1'!$A$46:$O$71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cw015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4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没交  吴总同意工程款中扣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4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cw05</author>
    <author>cw015</author>
  </authors>
  <commentList>
    <comment ref="A6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公式在5次表格中</t>
        </r>
      </text>
    </comment>
  </commentList>
</comments>
</file>

<file path=xl/comments6.xml><?xml version="1.0" encoding="utf-8"?>
<comments xmlns="http://schemas.openxmlformats.org/spreadsheetml/2006/main">
  <authors>
    <author>cw05</author>
    <author>cw015</author>
  </authors>
  <commentList>
    <comment ref="A6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公式在5次表格中</t>
        </r>
      </text>
    </comment>
  </commentList>
</comments>
</file>

<file path=xl/sharedStrings.xml><?xml version="1.0" encoding="utf-8"?>
<sst xmlns="http://schemas.openxmlformats.org/spreadsheetml/2006/main" count="769" uniqueCount="112">
  <si>
    <t>12740融水苗族自治县 2020 年农村公路安全生命防护工程施工招标№06标段</t>
  </si>
  <si>
    <t>中标日期</t>
  </si>
  <si>
    <t>中标价</t>
  </si>
  <si>
    <t>负责人</t>
  </si>
  <si>
    <t>邓云琪13471032251</t>
  </si>
  <si>
    <t>建设单位</t>
  </si>
  <si>
    <t xml:space="preserve">融水苗族自治县农村公路建设工作领导小组办公室
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</si>
  <si>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</si>
  <si>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</si>
  <si>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</si>
  <si>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</si>
  <si>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</si>
  <si>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</si>
  <si>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</si>
  <si>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</si>
  <si>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</si>
  <si>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</si>
  <si>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</si>
  <si>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</si>
  <si>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</si>
  <si>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</si>
  <si>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</si>
  <si>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</si>
  <si>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</si>
  <si>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</si>
  <si>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</si>
  <si>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</si>
  <si>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</si>
  <si>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</si>
  <si>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</si>
  <si>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</si>
  <si>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</si>
  <si>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</si>
  <si>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</si>
  <si>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</si>
  <si>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</si>
  <si>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叶绍锋</t>
  </si>
  <si>
    <t>周转金</t>
  </si>
  <si>
    <t>中行</t>
  </si>
  <si>
    <t>安徽拓创交通设施有限公司</t>
  </si>
  <si>
    <t>(波形护栏)</t>
  </si>
  <si>
    <t>扣</t>
  </si>
  <si>
    <t>手续费下次付款补扣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</si>
  <si>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</si>
  <si>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</si>
  <si>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</si>
  <si>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</si>
  <si>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</si>
  <si>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</si>
  <si>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</si>
  <si>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</si>
  <si>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</si>
  <si>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</si>
  <si>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</si>
  <si>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</si>
  <si>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</si>
  <si>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</si>
  <si>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</si>
  <si>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12742融水苗族自治县 2020 年农村公路安全生命防护工程施工招标№17标段</t>
  </si>
  <si>
    <r>
      <rPr>
        <sz val="9"/>
        <color rgb="FF333333"/>
        <rFont val="宋体"/>
        <charset val="134"/>
      </rPr>
      <t>邓云琪</t>
    </r>
    <r>
      <rPr>
        <sz val="9"/>
        <color rgb="FF333333"/>
        <rFont val="ˎ̥"/>
        <charset val="134"/>
      </rPr>
      <t>13471032251(</t>
    </r>
    <r>
      <rPr>
        <sz val="9"/>
        <color rgb="FF333333"/>
        <rFont val="宋体"/>
        <charset val="134"/>
      </rPr>
      <t>潘应得）</t>
    </r>
  </si>
  <si>
    <t>2020.11.23</t>
  </si>
  <si>
    <t>公司借款</t>
  </si>
  <si>
    <t>冠县通宇交通设施有限公司</t>
  </si>
  <si>
    <t>（波形钢护栏）</t>
  </si>
  <si>
    <t>潘应得</t>
  </si>
  <si>
    <t>20.11开票预交</t>
  </si>
  <si>
    <t>专户</t>
  </si>
  <si>
    <t>借</t>
  </si>
  <si>
    <t>专票</t>
  </si>
  <si>
    <t>还公司借款</t>
  </si>
  <si>
    <t>还借款</t>
  </si>
  <si>
    <t>退潘应得</t>
  </si>
  <si>
    <t>三江县昌盛贸易有限公司</t>
  </si>
  <si>
    <t>（机械租赁）</t>
  </si>
  <si>
    <t>管理费0.02</t>
  </si>
  <si>
    <t>补扣前三次财务手续费400+办理外经证费用500+王童开民工专户1000</t>
  </si>
  <si>
    <t>还借款利息2万</t>
  </si>
  <si>
    <t>暂扣</t>
  </si>
  <si>
    <t>企业所得税  成本票不够</t>
  </si>
  <si>
    <t>企税   0.01</t>
  </si>
  <si>
    <t>20.11月开票扣增值税及附加</t>
  </si>
  <si>
    <t>20.11开票扣税</t>
  </si>
  <si>
    <t xml:space="preserve">   </t>
  </si>
  <si>
    <t>企税</t>
  </si>
  <si>
    <t>暂扣企税</t>
  </si>
  <si>
    <t>20-12.30</t>
  </si>
  <si>
    <t>手续费</t>
  </si>
  <si>
    <t>退</t>
  </si>
  <si>
    <t>12.25暂扣企税</t>
  </si>
  <si>
    <t>已汇</t>
  </si>
  <si>
    <t>12.25已汇入王光如卡上</t>
  </si>
  <si>
    <t>12.30退企税</t>
  </si>
  <si>
    <t>广西滔发建筑劳务有限责任公司</t>
  </si>
  <si>
    <t>劳务</t>
  </si>
  <si>
    <t>三江胜盛贸易有限公司</t>
  </si>
  <si>
    <t>混凝土</t>
  </si>
  <si>
    <t>钢筋</t>
  </si>
  <si>
    <t>反光膜</t>
  </si>
  <si>
    <t>标线涂料</t>
  </si>
  <si>
    <t>专户支付民工工资，后附工资表</t>
  </si>
  <si>
    <t>12.25暂扣的企税</t>
  </si>
  <si>
    <t>三江胜盛贸易有限公司（商混）</t>
  </si>
  <si>
    <t>三江胜盛贸易有限公司（钢筋）</t>
  </si>
  <si>
    <t>三江胜盛贸易有限公司（标线）</t>
  </si>
  <si>
    <t xml:space="preserve">                                                                            </t>
  </si>
  <si>
    <t xml:space="preserve">                            17标代扣明细汇总                                        2021.4.23</t>
  </si>
  <si>
    <t>税金</t>
  </si>
  <si>
    <t>外经证</t>
  </si>
  <si>
    <t>专户开户费用</t>
  </si>
  <si>
    <t>应付</t>
  </si>
  <si>
    <t>已缴</t>
  </si>
  <si>
    <t>下剩费用工程款中扣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</si>
</sst>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177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179" formatCode="#,##0.00_ "/>
    <numFmt numFmtId="180" formatCode="yyyy&quot;年&quot;m&quot;月&quot;;@"/>
    <numFmt numFmtId="181" formatCode="#,##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>
      <protection locked="0"/>
    </xf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0" fontId="4" fillId="0" borderId="0" xfId="0" applyFont="1"/>
    <xf numFmtId="17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9" fontId="3" fillId="0" borderId="1" xfId="1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9" fontId="3" fillId="0" borderId="1" xfId="11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  <xf numFmtId="178" fontId="6" fillId="2" borderId="1" xfId="0" applyNumberFormat="1" applyFont="1" applyFill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0" borderId="1" xfId="1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2" fillId="0" borderId="1" xfId="11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vertical="center"/>
    </xf>
    <xf numFmtId="18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9" fontId="2" fillId="2" borderId="1" xfId="11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178" fontId="6" fillId="4" borderId="1" xfId="0" applyNumberFormat="1" applyFont="1" applyFill="1" applyBorder="1" applyAlignment="1">
      <alignment vertical="center"/>
    </xf>
    <xf numFmtId="178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8" fontId="7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6" fillId="0" borderId="0" xfId="0" applyNumberFormat="1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3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179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vertical="center"/>
    </xf>
    <xf numFmtId="178" fontId="6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179" fontId="6" fillId="4" borderId="1" xfId="0" applyNumberFormat="1" applyFont="1" applyFill="1" applyBorder="1" applyAlignment="1">
      <alignment vertical="center"/>
    </xf>
    <xf numFmtId="179" fontId="3" fillId="4" borderId="1" xfId="0" applyNumberFormat="1" applyFont="1" applyFill="1" applyBorder="1" applyAlignment="1">
      <alignment vertical="center"/>
    </xf>
    <xf numFmtId="178" fontId="3" fillId="4" borderId="0" xfId="0" applyNumberFormat="1" applyFont="1" applyFill="1" applyBorder="1" applyAlignment="1">
      <alignment vertical="center"/>
    </xf>
    <xf numFmtId="181" fontId="3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8" fontId="7" fillId="2" borderId="1" xfId="4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9" fontId="2" fillId="5" borderId="1" xfId="11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78" fontId="2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workbookViewId="0">
      <selection activeCell="B25" sqref="B25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3.1333333333333" style="10" customWidth="1"/>
    <col min="7" max="7" width="14.1333333333333" style="10" customWidth="1"/>
    <col min="8" max="8" width="9.63333333333333" style="11" customWidth="1"/>
    <col min="9" max="9" width="13.8833333333333" style="10" customWidth="1"/>
    <col min="10" max="10" width="6.13333333333333" style="115" customWidth="1"/>
    <col min="11" max="11" width="31.5" style="15" customWidth="1"/>
    <col min="12" max="12" width="12.75" style="15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18" customHeight="1" spans="1:12">
      <c r="A2" s="18" t="s">
        <v>1</v>
      </c>
      <c r="B2" s="19">
        <v>44044</v>
      </c>
      <c r="C2" s="20" t="s">
        <v>2</v>
      </c>
      <c r="D2" s="21">
        <v>6011524</v>
      </c>
      <c r="E2" s="22" t="s">
        <v>3</v>
      </c>
      <c r="F2" s="132" t="s">
        <v>4</v>
      </c>
      <c r="G2" s="24" t="s">
        <v>5</v>
      </c>
      <c r="H2" s="25" t="s">
        <v>6</v>
      </c>
      <c r="I2" s="119"/>
      <c r="J2" s="120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6"/>
      <c r="B7" s="37">
        <f t="shared" ref="B7:B8" si="0">G7/(1+C7+E7)</f>
        <v>0</v>
      </c>
      <c r="C7" s="38">
        <v>0.02</v>
      </c>
      <c r="D7" s="39">
        <f t="shared" ref="D7:D8" si="1">G7/(1+E7+C7)*C7</f>
        <v>0</v>
      </c>
      <c r="E7" s="40">
        <v>0.07</v>
      </c>
      <c r="F7" s="37">
        <f t="shared" ref="F7:F8" si="2">G7/(1+C7+E7)*E7</f>
        <v>0</v>
      </c>
      <c r="G7" s="133"/>
      <c r="H7" s="36"/>
      <c r="I7" s="37"/>
      <c r="J7" s="77"/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133"/>
      <c r="H8" s="36"/>
      <c r="I8" s="37"/>
      <c r="J8" s="77"/>
    </row>
    <row r="9" ht="18" customHeight="1" spans="1:10">
      <c r="A9" s="36"/>
      <c r="B9" s="37">
        <f t="shared" ref="B8:B10" si="3">G9/(1+C9+E9)</f>
        <v>0</v>
      </c>
      <c r="C9" s="38">
        <v>0.02</v>
      </c>
      <c r="D9" s="39">
        <f t="shared" ref="D8:D10" si="4">G9/(1+E9+C9)*C9</f>
        <v>0</v>
      </c>
      <c r="E9" s="40">
        <v>0.07</v>
      </c>
      <c r="F9" s="37">
        <f t="shared" ref="F8:F10" si="5">G9/(1+C9+E9)*E9</f>
        <v>0</v>
      </c>
      <c r="G9" s="133"/>
      <c r="H9" s="36"/>
      <c r="I9" s="37"/>
      <c r="J9" s="77"/>
    </row>
    <row r="10" ht="18" customHeight="1" spans="1:10">
      <c r="A10" s="36"/>
      <c r="B10" s="37">
        <f t="shared" si="3"/>
        <v>0</v>
      </c>
      <c r="C10" s="38">
        <v>0.02</v>
      </c>
      <c r="D10" s="39">
        <f t="shared" si="4"/>
        <v>0</v>
      </c>
      <c r="E10" s="40">
        <v>0.07</v>
      </c>
      <c r="F10" s="37">
        <f t="shared" si="5"/>
        <v>0</v>
      </c>
      <c r="G10" s="133"/>
      <c r="H10" s="36"/>
      <c r="I10" s="37"/>
      <c r="J10" s="77"/>
    </row>
    <row r="11" ht="18" customHeight="1" spans="1:10">
      <c r="A11" s="41" t="s">
        <v>21</v>
      </c>
      <c r="B11" s="42">
        <f>SUM(B7:B10)</f>
        <v>0</v>
      </c>
      <c r="C11" s="64"/>
      <c r="D11" s="110">
        <f t="shared" ref="D11:G11" si="6">SUM(D7:D10)</f>
        <v>0</v>
      </c>
      <c r="E11" s="64"/>
      <c r="F11" s="66">
        <f t="shared" si="6"/>
        <v>0</v>
      </c>
      <c r="G11" s="110">
        <f t="shared" si="6"/>
        <v>0</v>
      </c>
      <c r="H11" s="93"/>
      <c r="I11" s="110">
        <f>SUM(I7:I10)</f>
        <v>0</v>
      </c>
      <c r="J11" s="93"/>
    </row>
    <row r="12" ht="18" customHeight="1" spans="1:12">
      <c r="A12" s="9" t="s">
        <v>22</v>
      </c>
      <c r="J12" s="11"/>
      <c r="K12" s="11"/>
      <c r="L12" s="115"/>
    </row>
    <row r="13" ht="18" customHeight="1" spans="1:15">
      <c r="A13" s="43" t="s">
        <v>23</v>
      </c>
      <c r="B13" s="29" t="s">
        <v>24</v>
      </c>
      <c r="C13" s="28" t="s">
        <v>25</v>
      </c>
      <c r="D13" s="28" t="s">
        <v>26</v>
      </c>
      <c r="E13" s="28" t="s">
        <v>16</v>
      </c>
      <c r="F13" s="29" t="s">
        <v>27</v>
      </c>
      <c r="G13" s="29" t="s">
        <v>14</v>
      </c>
      <c r="H13" s="28" t="s">
        <v>28</v>
      </c>
      <c r="I13" s="29" t="s">
        <v>29</v>
      </c>
      <c r="J13" s="28" t="s">
        <v>20</v>
      </c>
      <c r="K13" s="79" t="s">
        <v>30</v>
      </c>
      <c r="L13" s="30" t="s">
        <v>31</v>
      </c>
      <c r="M13" s="30" t="s">
        <v>32</v>
      </c>
      <c r="N13" s="30" t="s">
        <v>33</v>
      </c>
      <c r="O13" s="30" t="s">
        <v>34</v>
      </c>
    </row>
    <row r="14" s="7" customFormat="1" ht="18" customHeight="1" spans="1:15">
      <c r="A14" s="63"/>
      <c r="B14" s="26">
        <f t="shared" ref="B14:B27" si="7">ROUND(G14/(1+E14),2)</f>
        <v>0</v>
      </c>
      <c r="C14" s="61"/>
      <c r="D14" s="116"/>
      <c r="E14" s="117"/>
      <c r="F14" s="26">
        <f t="shared" ref="F14:F27" si="8">ROUND(G14/(1+E14)*E14,2)</f>
        <v>0</v>
      </c>
      <c r="G14" s="133"/>
      <c r="H14" s="62">
        <v>44141</v>
      </c>
      <c r="I14" s="55">
        <v>189000</v>
      </c>
      <c r="J14" s="83" t="s">
        <v>35</v>
      </c>
      <c r="K14" s="124" t="s">
        <v>36</v>
      </c>
      <c r="L14" s="84" t="s">
        <v>37</v>
      </c>
      <c r="M14" s="85"/>
      <c r="N14" s="85"/>
      <c r="O14" s="50"/>
    </row>
    <row r="15" s="7" customFormat="1" ht="18" customHeight="1" spans="1:15">
      <c r="A15" s="63"/>
      <c r="B15" s="26">
        <f t="shared" si="7"/>
        <v>0</v>
      </c>
      <c r="C15" s="61"/>
      <c r="D15" s="116"/>
      <c r="E15" s="117"/>
      <c r="F15" s="26">
        <f t="shared" si="8"/>
        <v>0</v>
      </c>
      <c r="G15" s="133"/>
      <c r="H15" s="62">
        <v>44141</v>
      </c>
      <c r="I15" s="55">
        <v>189000</v>
      </c>
      <c r="J15" s="83" t="s">
        <v>38</v>
      </c>
      <c r="K15" s="124" t="s">
        <v>39</v>
      </c>
      <c r="L15" s="84" t="s">
        <v>40</v>
      </c>
      <c r="M15" s="85"/>
      <c r="N15" s="85"/>
      <c r="O15" s="50"/>
    </row>
    <row r="16" s="7" customFormat="1" ht="18" customHeight="1" spans="1:15">
      <c r="A16" s="63"/>
      <c r="B16" s="26">
        <f t="shared" si="7"/>
        <v>0</v>
      </c>
      <c r="C16" s="61"/>
      <c r="D16" s="116"/>
      <c r="E16" s="117"/>
      <c r="F16" s="26">
        <f t="shared" si="8"/>
        <v>0</v>
      </c>
      <c r="G16" s="133"/>
      <c r="H16" s="36"/>
      <c r="I16" s="37"/>
      <c r="J16" s="77"/>
      <c r="K16" s="125"/>
      <c r="L16" s="50"/>
      <c r="M16" s="85"/>
      <c r="N16" s="85"/>
      <c r="O16" s="50"/>
    </row>
    <row r="17" s="7" customFormat="1" ht="18" customHeight="1" spans="1:15">
      <c r="A17" s="63"/>
      <c r="B17" s="26">
        <f t="shared" si="7"/>
        <v>0</v>
      </c>
      <c r="C17" s="61"/>
      <c r="D17" s="116"/>
      <c r="E17" s="117"/>
      <c r="F17" s="26">
        <f t="shared" si="8"/>
        <v>0</v>
      </c>
      <c r="G17" s="133"/>
      <c r="H17" s="36"/>
      <c r="I17" s="37"/>
      <c r="J17" s="77"/>
      <c r="K17" s="125"/>
      <c r="L17" s="50"/>
      <c r="M17" s="85"/>
      <c r="N17" s="85"/>
      <c r="O17" s="50"/>
    </row>
    <row r="18" s="7" customFormat="1" ht="18" customHeight="1" spans="1:15">
      <c r="A18" s="63"/>
      <c r="B18" s="26">
        <f t="shared" si="7"/>
        <v>0</v>
      </c>
      <c r="C18" s="61"/>
      <c r="D18" s="116"/>
      <c r="E18" s="117"/>
      <c r="F18" s="26">
        <f t="shared" si="8"/>
        <v>0</v>
      </c>
      <c r="G18" s="133"/>
      <c r="H18" s="36"/>
      <c r="I18" s="37"/>
      <c r="J18" s="77"/>
      <c r="K18" s="125"/>
      <c r="L18" s="50"/>
      <c r="M18" s="85"/>
      <c r="N18" s="85"/>
      <c r="O18" s="50"/>
    </row>
    <row r="19" s="7" customFormat="1" ht="18" customHeight="1" spans="1:15">
      <c r="A19" s="63"/>
      <c r="B19" s="26">
        <f t="shared" si="7"/>
        <v>0</v>
      </c>
      <c r="C19" s="61"/>
      <c r="D19" s="116"/>
      <c r="E19" s="117"/>
      <c r="F19" s="26">
        <f t="shared" si="8"/>
        <v>0</v>
      </c>
      <c r="G19" s="133"/>
      <c r="H19" s="36"/>
      <c r="I19" s="37"/>
      <c r="J19" s="77"/>
      <c r="K19" s="125"/>
      <c r="L19" s="50"/>
      <c r="M19" s="85"/>
      <c r="N19" s="85"/>
      <c r="O19" s="50"/>
    </row>
    <row r="20" s="7" customFormat="1" ht="18" customHeight="1" spans="1:15">
      <c r="A20" s="63"/>
      <c r="B20" s="26">
        <f t="shared" si="7"/>
        <v>0</v>
      </c>
      <c r="C20" s="61"/>
      <c r="D20" s="116"/>
      <c r="E20" s="117"/>
      <c r="F20" s="26">
        <f t="shared" si="8"/>
        <v>0</v>
      </c>
      <c r="G20" s="133"/>
      <c r="H20" s="36"/>
      <c r="I20" s="37"/>
      <c r="J20" s="77"/>
      <c r="K20" s="125"/>
      <c r="L20" s="50"/>
      <c r="M20" s="85"/>
      <c r="N20" s="85"/>
      <c r="O20" s="50"/>
    </row>
    <row r="21" s="7" customFormat="1" ht="18" customHeight="1" spans="1:15">
      <c r="A21" s="63"/>
      <c r="B21" s="26">
        <f t="shared" si="7"/>
        <v>0</v>
      </c>
      <c r="C21" s="61"/>
      <c r="D21" s="116"/>
      <c r="E21" s="117"/>
      <c r="F21" s="26">
        <f t="shared" si="8"/>
        <v>0</v>
      </c>
      <c r="G21" s="133"/>
      <c r="H21" s="36"/>
      <c r="I21" s="37"/>
      <c r="J21" s="77"/>
      <c r="K21" s="125"/>
      <c r="L21" s="50"/>
      <c r="M21" s="85"/>
      <c r="N21" s="85"/>
      <c r="O21" s="50"/>
    </row>
    <row r="22" s="7" customFormat="1" ht="18" customHeight="1" spans="1:15">
      <c r="A22" s="63"/>
      <c r="B22" s="26">
        <f t="shared" si="7"/>
        <v>0</v>
      </c>
      <c r="C22" s="61"/>
      <c r="D22" s="116"/>
      <c r="E22" s="117"/>
      <c r="F22" s="26">
        <f t="shared" si="8"/>
        <v>0</v>
      </c>
      <c r="G22" s="133"/>
      <c r="H22" s="36"/>
      <c r="I22" s="37"/>
      <c r="J22" s="77"/>
      <c r="K22" s="125"/>
      <c r="L22" s="50"/>
      <c r="M22" s="85"/>
      <c r="N22" s="85"/>
      <c r="O22" s="50"/>
    </row>
    <row r="23" s="7" customFormat="1" ht="18" customHeight="1" spans="1:15">
      <c r="A23" s="63"/>
      <c r="B23" s="26">
        <f t="shared" si="7"/>
        <v>0</v>
      </c>
      <c r="C23" s="61"/>
      <c r="D23" s="116"/>
      <c r="E23" s="117"/>
      <c r="F23" s="26">
        <f t="shared" si="8"/>
        <v>0</v>
      </c>
      <c r="G23" s="133"/>
      <c r="H23" s="36"/>
      <c r="I23" s="37"/>
      <c r="J23" s="77"/>
      <c r="K23" s="125"/>
      <c r="L23" s="50"/>
      <c r="M23" s="85"/>
      <c r="N23" s="85"/>
      <c r="O23" s="50"/>
    </row>
    <row r="24" s="7" customFormat="1" ht="18" customHeight="1" spans="1:15">
      <c r="A24" s="63"/>
      <c r="B24" s="26">
        <f t="shared" si="7"/>
        <v>0</v>
      </c>
      <c r="C24" s="61"/>
      <c r="D24" s="116"/>
      <c r="E24" s="117"/>
      <c r="F24" s="26">
        <f t="shared" si="8"/>
        <v>0</v>
      </c>
      <c r="G24" s="133"/>
      <c r="H24" s="36"/>
      <c r="I24" s="37"/>
      <c r="J24" s="77"/>
      <c r="K24" s="125"/>
      <c r="L24" s="50"/>
      <c r="M24" s="85"/>
      <c r="N24" s="85"/>
      <c r="O24" s="50"/>
    </row>
    <row r="25" s="7" customFormat="1" ht="18" customHeight="1" spans="1:15">
      <c r="A25" s="63"/>
      <c r="B25" s="26">
        <f t="shared" si="7"/>
        <v>0</v>
      </c>
      <c r="C25" s="61"/>
      <c r="D25" s="116"/>
      <c r="E25" s="117"/>
      <c r="F25" s="26">
        <f t="shared" si="8"/>
        <v>0</v>
      </c>
      <c r="G25" s="133"/>
      <c r="H25" s="36"/>
      <c r="I25" s="37"/>
      <c r="J25" s="77"/>
      <c r="K25" s="125"/>
      <c r="L25" s="50"/>
      <c r="M25" s="85"/>
      <c r="N25" s="85"/>
      <c r="O25" s="50"/>
    </row>
    <row r="26" s="7" customFormat="1" ht="18" customHeight="1" spans="1:15">
      <c r="A26" s="63"/>
      <c r="B26" s="26">
        <f t="shared" si="7"/>
        <v>0</v>
      </c>
      <c r="C26" s="61"/>
      <c r="D26" s="116"/>
      <c r="E26" s="117"/>
      <c r="F26" s="26">
        <f t="shared" si="8"/>
        <v>0</v>
      </c>
      <c r="G26" s="133"/>
      <c r="H26" s="36"/>
      <c r="I26" s="37"/>
      <c r="J26" s="77"/>
      <c r="K26" s="125"/>
      <c r="L26" s="50"/>
      <c r="M26" s="85"/>
      <c r="N26" s="85"/>
      <c r="O26" s="50"/>
    </row>
    <row r="27" s="7" customFormat="1" ht="18" customHeight="1" spans="1:15">
      <c r="A27" s="63"/>
      <c r="B27" s="26">
        <f t="shared" si="7"/>
        <v>0</v>
      </c>
      <c r="C27" s="61"/>
      <c r="D27" s="116"/>
      <c r="E27" s="117"/>
      <c r="F27" s="26">
        <f t="shared" si="8"/>
        <v>0</v>
      </c>
      <c r="G27" s="133"/>
      <c r="H27" s="36"/>
      <c r="I27" s="37"/>
      <c r="J27" s="77"/>
      <c r="K27" s="125"/>
      <c r="L27" s="50"/>
      <c r="M27" s="85"/>
      <c r="N27" s="85"/>
      <c r="O27" s="50"/>
    </row>
    <row r="28" s="7" customFormat="1" ht="18" customHeight="1" spans="1:15">
      <c r="A28" s="63"/>
      <c r="B28" s="26">
        <f t="shared" ref="B15:B31" si="9">ROUND(G28/(1+E28),2)</f>
        <v>0</v>
      </c>
      <c r="C28" s="61"/>
      <c r="D28" s="116"/>
      <c r="E28" s="117"/>
      <c r="F28" s="26">
        <f t="shared" ref="F15:F31" si="10">ROUND(G28/(1+E28)*E28,2)</f>
        <v>0</v>
      </c>
      <c r="G28" s="133"/>
      <c r="H28" s="36"/>
      <c r="I28" s="37"/>
      <c r="J28" s="77"/>
      <c r="K28" s="125"/>
      <c r="L28" s="50"/>
      <c r="M28" s="85"/>
      <c r="N28" s="85"/>
      <c r="O28" s="50"/>
    </row>
    <row r="29" s="7" customFormat="1" ht="18" customHeight="1" spans="1:15">
      <c r="A29" s="63"/>
      <c r="B29" s="26">
        <f t="shared" si="9"/>
        <v>0</v>
      </c>
      <c r="C29" s="61"/>
      <c r="D29" s="116"/>
      <c r="E29" s="117"/>
      <c r="F29" s="26">
        <f t="shared" si="10"/>
        <v>0</v>
      </c>
      <c r="G29" s="133"/>
      <c r="H29" s="36"/>
      <c r="I29" s="37"/>
      <c r="J29" s="77"/>
      <c r="K29" s="125"/>
      <c r="L29" s="50"/>
      <c r="M29" s="85"/>
      <c r="N29" s="85"/>
      <c r="O29" s="50"/>
    </row>
    <row r="30" s="7" customFormat="1" ht="18" customHeight="1" spans="1:15">
      <c r="A30" s="63"/>
      <c r="B30" s="26">
        <f t="shared" si="9"/>
        <v>0</v>
      </c>
      <c r="C30" s="61"/>
      <c r="D30" s="116"/>
      <c r="E30" s="117"/>
      <c r="F30" s="26">
        <f t="shared" si="10"/>
        <v>0</v>
      </c>
      <c r="G30" s="133"/>
      <c r="H30" s="36"/>
      <c r="I30" s="37"/>
      <c r="J30" s="77"/>
      <c r="K30" s="125"/>
      <c r="L30" s="50"/>
      <c r="M30" s="85"/>
      <c r="N30" s="85"/>
      <c r="O30" s="50"/>
    </row>
    <row r="31" s="7" customFormat="1" ht="18" customHeight="1" spans="1:15">
      <c r="A31" s="63"/>
      <c r="B31" s="26">
        <f t="shared" si="9"/>
        <v>0</v>
      </c>
      <c r="C31" s="61"/>
      <c r="D31" s="116"/>
      <c r="E31" s="117"/>
      <c r="F31" s="26">
        <f t="shared" si="10"/>
        <v>0</v>
      </c>
      <c r="G31" s="133"/>
      <c r="H31" s="36"/>
      <c r="I31" s="37"/>
      <c r="J31" s="77"/>
      <c r="K31" s="125"/>
      <c r="L31" s="50"/>
      <c r="M31" s="85"/>
      <c r="N31" s="85"/>
      <c r="O31" s="50"/>
    </row>
    <row r="32" ht="18" customHeight="1" spans="1:15">
      <c r="A32" s="64" t="s">
        <v>21</v>
      </c>
      <c r="B32" s="42">
        <f t="shared" ref="B32:G32" si="11">SUM(B14:B31)</f>
        <v>0</v>
      </c>
      <c r="C32" s="64"/>
      <c r="D32" s="65"/>
      <c r="E32" s="65"/>
      <c r="F32" s="66">
        <f t="shared" si="11"/>
        <v>0</v>
      </c>
      <c r="G32" s="105">
        <f t="shared" si="11"/>
        <v>0</v>
      </c>
      <c r="H32" s="134"/>
      <c r="I32" s="110">
        <f>SUM(I14:I31)</f>
        <v>378000</v>
      </c>
      <c r="J32" s="135" t="s">
        <v>41</v>
      </c>
      <c r="K32" s="65" t="s">
        <v>42</v>
      </c>
      <c r="L32" s="93"/>
      <c r="M32" s="77"/>
      <c r="N32" s="77"/>
      <c r="O32" s="93"/>
    </row>
    <row r="33" ht="18" customHeight="1" spans="1:14">
      <c r="A33" s="69" t="s">
        <v>43</v>
      </c>
      <c r="B33" s="70">
        <f>B11*0.936</f>
        <v>0</v>
      </c>
      <c r="C33" s="69"/>
      <c r="D33" s="71"/>
      <c r="E33" s="71"/>
      <c r="F33" s="70"/>
      <c r="G33" s="70">
        <f>G11-G32</f>
        <v>0</v>
      </c>
      <c r="H33" s="30" t="s">
        <v>44</v>
      </c>
      <c r="I33" s="110">
        <f>I11-I32</f>
        <v>-378000</v>
      </c>
      <c r="J33" s="15"/>
      <c r="K33" s="131"/>
      <c r="M33" s="14"/>
      <c r="N33" s="14"/>
    </row>
    <row r="34" ht="18" customHeight="1" spans="1:14">
      <c r="A34" s="69" t="s">
        <v>45</v>
      </c>
      <c r="B34" s="70">
        <f>B33-B32</f>
        <v>0</v>
      </c>
      <c r="C34" s="69"/>
      <c r="D34" s="71"/>
      <c r="E34" s="71"/>
      <c r="F34" s="70"/>
      <c r="G34" s="70"/>
      <c r="H34" s="73"/>
      <c r="I34" s="70"/>
      <c r="J34" s="15"/>
      <c r="K34" s="131"/>
      <c r="M34" s="14"/>
      <c r="N34" s="14"/>
    </row>
    <row r="35" ht="18" customHeight="1" spans="1:3">
      <c r="A35" s="9" t="s">
        <v>46</v>
      </c>
      <c r="C35" s="9"/>
    </row>
    <row r="36" ht="18" customHeight="1" spans="1:6">
      <c r="A36" s="30" t="s">
        <v>47</v>
      </c>
      <c r="B36" s="29" t="s">
        <v>48</v>
      </c>
      <c r="C36" s="93"/>
      <c r="D36" s="30" t="s">
        <v>47</v>
      </c>
      <c r="E36" s="28" t="s">
        <v>16</v>
      </c>
      <c r="F36" s="29" t="s">
        <v>48</v>
      </c>
    </row>
    <row r="37" ht="18" customHeight="1" spans="1:6">
      <c r="A37" s="93" t="s">
        <v>49</v>
      </c>
      <c r="B37" s="26">
        <f>(B33-B32)*0.25</f>
        <v>0</v>
      </c>
      <c r="C37" s="93"/>
      <c r="D37" s="41" t="s">
        <v>50</v>
      </c>
      <c r="E37" s="30" t="s">
        <v>51</v>
      </c>
      <c r="F37" s="66">
        <f>F11-F32</f>
        <v>0</v>
      </c>
    </row>
    <row r="38" ht="18" customHeight="1" spans="1:6">
      <c r="A38" s="93" t="s">
        <v>52</v>
      </c>
      <c r="B38" s="97"/>
      <c r="C38" s="93"/>
      <c r="D38" s="98" t="s">
        <v>53</v>
      </c>
      <c r="E38" s="22">
        <v>0.05</v>
      </c>
      <c r="F38" s="37">
        <f>F37*E38</f>
        <v>0</v>
      </c>
    </row>
    <row r="39" ht="18" customHeight="1" spans="1:6">
      <c r="A39" s="93" t="s">
        <v>54</v>
      </c>
      <c r="B39" s="97"/>
      <c r="C39" s="93"/>
      <c r="D39" s="98" t="s">
        <v>55</v>
      </c>
      <c r="E39" s="22">
        <v>0.03</v>
      </c>
      <c r="F39" s="37">
        <f>F37*E39</f>
        <v>0</v>
      </c>
    </row>
    <row r="40" ht="18" customHeight="1" spans="1:6">
      <c r="A40" s="93"/>
      <c r="B40" s="37"/>
      <c r="C40" s="93"/>
      <c r="D40" s="98" t="s">
        <v>56</v>
      </c>
      <c r="E40" s="22">
        <v>0.02</v>
      </c>
      <c r="F40" s="37">
        <f>F37*E40</f>
        <v>0</v>
      </c>
    </row>
    <row r="41" ht="18" customHeight="1" spans="1:6">
      <c r="A41" s="41" t="s">
        <v>57</v>
      </c>
      <c r="B41" s="42">
        <f>SUM(B37:B40)</f>
        <v>0</v>
      </c>
      <c r="C41" s="93"/>
      <c r="D41" s="43" t="s">
        <v>57</v>
      </c>
      <c r="E41" s="41"/>
      <c r="F41" s="66">
        <f>SUM(F37:F40)</f>
        <v>0</v>
      </c>
    </row>
    <row r="42" ht="18" customHeight="1" spans="3:6">
      <c r="C42" s="9"/>
      <c r="D42" s="20" t="s">
        <v>52</v>
      </c>
      <c r="E42" s="100">
        <v>0.0003</v>
      </c>
      <c r="F42" s="37">
        <f>G11*E42</f>
        <v>0</v>
      </c>
    </row>
    <row r="43" ht="18" customHeight="1" spans="3:6">
      <c r="C43" s="9"/>
      <c r="D43" s="20" t="s">
        <v>54</v>
      </c>
      <c r="E43" s="100">
        <v>0.0006</v>
      </c>
      <c r="F43" s="37">
        <f>B37</f>
        <v>0</v>
      </c>
    </row>
    <row r="44" ht="18" customHeight="1" spans="3:6">
      <c r="C44" s="9"/>
      <c r="D44" s="28" t="s">
        <v>57</v>
      </c>
      <c r="E44" s="65"/>
      <c r="F44" s="110">
        <f>F43+F42</f>
        <v>0</v>
      </c>
    </row>
    <row r="45" ht="18" customHeight="1" spans="3:6">
      <c r="C45" s="9"/>
      <c r="D45" s="28" t="s">
        <v>21</v>
      </c>
      <c r="E45" s="64"/>
      <c r="F45" s="110">
        <f>F41+F44</f>
        <v>0</v>
      </c>
    </row>
    <row r="46" ht="18" customHeight="1" spans="3:6">
      <c r="C46" s="9"/>
      <c r="D46" s="64" t="s">
        <v>49</v>
      </c>
      <c r="E46" s="65"/>
      <c r="F46" s="110">
        <f>B11*E46</f>
        <v>0</v>
      </c>
    </row>
    <row r="47" ht="18" customHeight="1" spans="3:3">
      <c r="C47" s="9"/>
    </row>
    <row r="48" ht="18" customHeight="1" spans="3:3">
      <c r="C48" s="9"/>
    </row>
    <row r="49" ht="18" customHeight="1" spans="3:3">
      <c r="C49" s="9"/>
    </row>
    <row r="50" spans="3:3">
      <c r="C50" s="9"/>
    </row>
    <row r="51" spans="3:3">
      <c r="C51" s="9"/>
    </row>
    <row r="52" spans="3:3">
      <c r="C52" s="9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13" workbookViewId="0">
      <selection activeCell="H23" sqref="H23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2.8833333333333" style="10" customWidth="1"/>
    <col min="7" max="7" width="14.1333333333333" style="12" customWidth="1"/>
    <col min="8" max="8" width="12.5583333333333" style="11" customWidth="1"/>
    <col min="9" max="9" width="13.8833333333333" style="10" customWidth="1"/>
    <col min="10" max="10" width="6.13333333333333" style="115" customWidth="1"/>
    <col min="11" max="11" width="31.5" style="15" customWidth="1"/>
    <col min="12" max="12" width="12.75" style="15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58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31" customHeight="1" spans="1:12">
      <c r="A2" s="18" t="s">
        <v>1</v>
      </c>
      <c r="B2" s="19">
        <v>44044</v>
      </c>
      <c r="C2" s="20" t="s">
        <v>2</v>
      </c>
      <c r="D2" s="21">
        <v>6016197</v>
      </c>
      <c r="E2" s="22" t="s">
        <v>3</v>
      </c>
      <c r="F2" s="23" t="s">
        <v>59</v>
      </c>
      <c r="G2" s="24" t="s">
        <v>5</v>
      </c>
      <c r="H2" s="25" t="s">
        <v>6</v>
      </c>
      <c r="I2" s="119"/>
      <c r="J2" s="120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1" t="s">
        <v>60</v>
      </c>
      <c r="B7" s="26">
        <f t="shared" ref="B7:B10" si="0">G7/(1+C7+E7)</f>
        <v>3899082.56880734</v>
      </c>
      <c r="C7" s="32">
        <v>0.02</v>
      </c>
      <c r="D7" s="33">
        <f t="shared" ref="D7:D10" si="1">G7/(1+E7+C7)*C7</f>
        <v>77981.6513761468</v>
      </c>
      <c r="E7" s="34">
        <v>0.07</v>
      </c>
      <c r="F7" s="26">
        <f t="shared" ref="F7:F10" si="2">G7/(1+C7+E7)*E7</f>
        <v>272935.779816514</v>
      </c>
      <c r="G7" s="35">
        <v>4250000</v>
      </c>
      <c r="H7" s="36"/>
      <c r="I7" s="37"/>
      <c r="J7" s="77"/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35"/>
      <c r="H8" s="36"/>
      <c r="I8" s="37"/>
      <c r="J8" s="77"/>
    </row>
    <row r="9" ht="18" customHeight="1" spans="1:10">
      <c r="A9" s="36"/>
      <c r="B9" s="37">
        <f t="shared" si="0"/>
        <v>0</v>
      </c>
      <c r="C9" s="38">
        <v>0.02</v>
      </c>
      <c r="D9" s="39">
        <f t="shared" si="1"/>
        <v>0</v>
      </c>
      <c r="E9" s="40">
        <v>0.07</v>
      </c>
      <c r="F9" s="37">
        <f t="shared" si="2"/>
        <v>0</v>
      </c>
      <c r="G9" s="35"/>
      <c r="H9" s="36"/>
      <c r="I9" s="37"/>
      <c r="J9" s="77"/>
    </row>
    <row r="10" ht="18" customHeight="1" spans="1:10">
      <c r="A10" s="36"/>
      <c r="B10" s="37">
        <f t="shared" si="0"/>
        <v>0</v>
      </c>
      <c r="C10" s="38">
        <v>0.02</v>
      </c>
      <c r="D10" s="39">
        <f t="shared" si="1"/>
        <v>0</v>
      </c>
      <c r="E10" s="40">
        <v>0.07</v>
      </c>
      <c r="F10" s="37">
        <f t="shared" si="2"/>
        <v>0</v>
      </c>
      <c r="G10" s="35"/>
      <c r="H10" s="36"/>
      <c r="I10" s="37"/>
      <c r="J10" s="77"/>
    </row>
    <row r="11" ht="18" customHeight="1" spans="1:10">
      <c r="A11" s="41" t="s">
        <v>21</v>
      </c>
      <c r="B11" s="42">
        <f t="shared" ref="B11:G11" si="3">SUM(B7:B10)</f>
        <v>3899082.56880734</v>
      </c>
      <c r="C11" s="64"/>
      <c r="D11" s="110">
        <f t="shared" si="3"/>
        <v>77981.6513761468</v>
      </c>
      <c r="E11" s="64"/>
      <c r="F11" s="66">
        <f t="shared" si="3"/>
        <v>272935.779816514</v>
      </c>
      <c r="G11" s="29">
        <f t="shared" si="3"/>
        <v>4250000</v>
      </c>
      <c r="H11" s="93"/>
      <c r="I11" s="110">
        <f>SUM(I7:I10)</f>
        <v>0</v>
      </c>
      <c r="J11" s="93"/>
    </row>
    <row r="12" ht="18" customHeight="1" spans="1:12">
      <c r="A12" s="9" t="s">
        <v>22</v>
      </c>
      <c r="J12" s="11"/>
      <c r="K12" s="11"/>
      <c r="L12" s="115"/>
    </row>
    <row r="13" ht="18" customHeight="1" spans="1:15">
      <c r="A13" s="43" t="s">
        <v>23</v>
      </c>
      <c r="B13" s="29" t="s">
        <v>24</v>
      </c>
      <c r="C13" s="28" t="s">
        <v>25</v>
      </c>
      <c r="D13" s="28" t="s">
        <v>26</v>
      </c>
      <c r="E13" s="28" t="s">
        <v>16</v>
      </c>
      <c r="F13" s="29" t="s">
        <v>27</v>
      </c>
      <c r="G13" s="29" t="s">
        <v>14</v>
      </c>
      <c r="H13" s="28" t="s">
        <v>28</v>
      </c>
      <c r="I13" s="29" t="s">
        <v>29</v>
      </c>
      <c r="J13" s="28" t="s">
        <v>20</v>
      </c>
      <c r="K13" s="79" t="s">
        <v>30</v>
      </c>
      <c r="L13" s="30" t="s">
        <v>31</v>
      </c>
      <c r="M13" s="30" t="s">
        <v>32</v>
      </c>
      <c r="N13" s="30" t="s">
        <v>33</v>
      </c>
      <c r="O13" s="30" t="s">
        <v>34</v>
      </c>
    </row>
    <row r="14" s="7" customFormat="1" ht="18" customHeight="1" spans="1:15">
      <c r="A14" s="44"/>
      <c r="B14" s="33"/>
      <c r="C14" s="45"/>
      <c r="D14" s="46"/>
      <c r="E14" s="47"/>
      <c r="F14" s="33"/>
      <c r="G14" s="48"/>
      <c r="H14" s="49">
        <v>44160</v>
      </c>
      <c r="I14" s="33">
        <v>-1000000</v>
      </c>
      <c r="J14" s="80" t="s">
        <v>35</v>
      </c>
      <c r="K14" s="52" t="s">
        <v>61</v>
      </c>
      <c r="L14" s="52"/>
      <c r="M14" s="80"/>
      <c r="N14" s="80"/>
      <c r="O14" s="50"/>
    </row>
    <row r="15" s="7" customFormat="1" ht="18" customHeight="1" spans="1:15">
      <c r="A15" s="44"/>
      <c r="B15" s="33"/>
      <c r="C15" s="45"/>
      <c r="D15" s="46"/>
      <c r="E15" s="47"/>
      <c r="F15" s="33"/>
      <c r="G15" s="48"/>
      <c r="H15" s="49">
        <v>44160</v>
      </c>
      <c r="I15" s="33">
        <v>1000000</v>
      </c>
      <c r="J15" s="80" t="s">
        <v>38</v>
      </c>
      <c r="K15" s="121" t="s">
        <v>62</v>
      </c>
      <c r="L15" s="122" t="s">
        <v>63</v>
      </c>
      <c r="M15" s="80"/>
      <c r="N15" s="80"/>
      <c r="O15" s="50"/>
    </row>
    <row r="16" s="7" customFormat="1" ht="18" customHeight="1" spans="1:15">
      <c r="A16" s="44"/>
      <c r="B16" s="33"/>
      <c r="C16" s="45"/>
      <c r="D16" s="46"/>
      <c r="E16" s="47"/>
      <c r="F16" s="33"/>
      <c r="G16" s="48"/>
      <c r="H16" s="51">
        <v>44161</v>
      </c>
      <c r="I16" s="39">
        <v>-800000</v>
      </c>
      <c r="J16" s="80" t="s">
        <v>35</v>
      </c>
      <c r="K16" s="121" t="s">
        <v>64</v>
      </c>
      <c r="L16" s="122" t="s">
        <v>37</v>
      </c>
      <c r="M16" s="80"/>
      <c r="N16" s="80"/>
      <c r="O16" s="50"/>
    </row>
    <row r="17" s="7" customFormat="1" ht="18" customHeight="1" spans="1:15">
      <c r="A17" s="52"/>
      <c r="B17" s="33"/>
      <c r="C17" s="45"/>
      <c r="D17" s="46"/>
      <c r="E17" s="47"/>
      <c r="F17" s="33"/>
      <c r="G17" s="48"/>
      <c r="H17" s="51">
        <v>44161</v>
      </c>
      <c r="I17" s="39">
        <v>800000</v>
      </c>
      <c r="J17" s="80" t="s">
        <v>38</v>
      </c>
      <c r="K17" s="121" t="s">
        <v>62</v>
      </c>
      <c r="L17" s="122" t="s">
        <v>63</v>
      </c>
      <c r="M17" s="80"/>
      <c r="N17" s="80"/>
      <c r="O17" s="50"/>
    </row>
    <row r="18" s="7" customFormat="1" ht="18" customHeight="1" spans="1:15">
      <c r="A18" s="44"/>
      <c r="B18" s="33"/>
      <c r="C18" s="45"/>
      <c r="D18" s="46"/>
      <c r="E18" s="53"/>
      <c r="F18" s="33"/>
      <c r="G18" s="48"/>
      <c r="H18" s="60">
        <v>44165</v>
      </c>
      <c r="I18" s="123">
        <v>-700000</v>
      </c>
      <c r="J18" s="83" t="s">
        <v>35</v>
      </c>
      <c r="K18" s="124" t="s">
        <v>64</v>
      </c>
      <c r="L18" s="84" t="s">
        <v>37</v>
      </c>
      <c r="M18" s="80"/>
      <c r="N18" s="80"/>
      <c r="O18" s="50"/>
    </row>
    <row r="19" s="7" customFormat="1" ht="18" customHeight="1" spans="1:15">
      <c r="A19" s="44"/>
      <c r="B19" s="33"/>
      <c r="C19" s="45"/>
      <c r="D19" s="46"/>
      <c r="E19" s="47"/>
      <c r="F19" s="33"/>
      <c r="G19" s="48"/>
      <c r="H19" s="60">
        <v>44165</v>
      </c>
      <c r="I19" s="123">
        <v>700000</v>
      </c>
      <c r="J19" s="83" t="s">
        <v>38</v>
      </c>
      <c r="K19" s="124" t="s">
        <v>62</v>
      </c>
      <c r="L19" s="84" t="s">
        <v>63</v>
      </c>
      <c r="M19" s="80"/>
      <c r="N19" s="80"/>
      <c r="O19" s="50"/>
    </row>
    <row r="20" s="7" customFormat="1" ht="18" customHeight="1" spans="1:15">
      <c r="A20" s="44"/>
      <c r="B20" s="33"/>
      <c r="C20" s="45"/>
      <c r="D20" s="46"/>
      <c r="E20" s="47"/>
      <c r="F20" s="33"/>
      <c r="G20" s="48"/>
      <c r="H20" s="51"/>
      <c r="I20" s="39"/>
      <c r="J20" s="87"/>
      <c r="K20" s="121"/>
      <c r="L20" s="122"/>
      <c r="M20" s="80"/>
      <c r="N20" s="80"/>
      <c r="O20" s="50"/>
    </row>
    <row r="21" s="7" customFormat="1" ht="18" customHeight="1" spans="1:15">
      <c r="A21" s="44"/>
      <c r="B21" s="33"/>
      <c r="C21" s="45"/>
      <c r="D21" s="46"/>
      <c r="E21" s="47"/>
      <c r="F21" s="33"/>
      <c r="G21" s="48"/>
      <c r="H21" s="51"/>
      <c r="I21" s="39"/>
      <c r="J21" s="87"/>
      <c r="K21" s="121"/>
      <c r="L21" s="122"/>
      <c r="M21" s="80"/>
      <c r="N21" s="80"/>
      <c r="O21" s="50"/>
    </row>
    <row r="22" s="7" customFormat="1" ht="18" customHeight="1" spans="1:15">
      <c r="A22" s="63"/>
      <c r="B22" s="26">
        <f t="shared" ref="B14:B31" si="4">ROUND(G22/(1+E22),2)</f>
        <v>0</v>
      </c>
      <c r="C22" s="61"/>
      <c r="D22" s="116"/>
      <c r="E22" s="117"/>
      <c r="F22" s="26">
        <f t="shared" ref="F14:F31" si="5">ROUND(G22/(1+E22)*E22,2)</f>
        <v>0</v>
      </c>
      <c r="G22" s="35"/>
      <c r="H22" s="36"/>
      <c r="I22" s="37"/>
      <c r="J22" s="77"/>
      <c r="K22" s="125"/>
      <c r="L22" s="50"/>
      <c r="M22" s="85"/>
      <c r="N22" s="85"/>
      <c r="O22" s="50"/>
    </row>
    <row r="23" s="7" customFormat="1" ht="18" customHeight="1" spans="1:15">
      <c r="A23" s="63"/>
      <c r="B23" s="26">
        <f t="shared" si="4"/>
        <v>0</v>
      </c>
      <c r="C23" s="61"/>
      <c r="D23" s="116"/>
      <c r="E23" s="117"/>
      <c r="F23" s="26">
        <f t="shared" si="5"/>
        <v>0</v>
      </c>
      <c r="G23" s="35"/>
      <c r="H23" s="36"/>
      <c r="I23" s="37"/>
      <c r="J23" s="77"/>
      <c r="K23" s="125"/>
      <c r="L23" s="50"/>
      <c r="M23" s="85"/>
      <c r="N23" s="85"/>
      <c r="O23" s="50"/>
    </row>
    <row r="24" s="7" customFormat="1" ht="18" customHeight="1" spans="1:15">
      <c r="A24" s="63"/>
      <c r="B24" s="26">
        <f t="shared" si="4"/>
        <v>0</v>
      </c>
      <c r="C24" s="61"/>
      <c r="D24" s="116"/>
      <c r="E24" s="117"/>
      <c r="F24" s="26">
        <f t="shared" si="5"/>
        <v>0</v>
      </c>
      <c r="G24" s="35"/>
      <c r="H24" s="36"/>
      <c r="I24" s="37"/>
      <c r="J24" s="77"/>
      <c r="K24" s="125"/>
      <c r="L24" s="50"/>
      <c r="M24" s="85"/>
      <c r="N24" s="85"/>
      <c r="O24" s="50"/>
    </row>
    <row r="25" s="7" customFormat="1" ht="18" customHeight="1" spans="1:15">
      <c r="A25" s="63"/>
      <c r="B25" s="26">
        <f t="shared" si="4"/>
        <v>0</v>
      </c>
      <c r="C25" s="61"/>
      <c r="D25" s="116"/>
      <c r="E25" s="117"/>
      <c r="F25" s="26">
        <f t="shared" si="5"/>
        <v>0</v>
      </c>
      <c r="G25" s="35"/>
      <c r="H25" s="36"/>
      <c r="I25" s="37"/>
      <c r="J25" s="77"/>
      <c r="K25" s="125"/>
      <c r="L25" s="50"/>
      <c r="M25" s="85"/>
      <c r="N25" s="85"/>
      <c r="O25" s="50"/>
    </row>
    <row r="26" s="7" customFormat="1" ht="18" customHeight="1" spans="1:15">
      <c r="A26" s="63"/>
      <c r="B26" s="26">
        <f t="shared" si="4"/>
        <v>0</v>
      </c>
      <c r="C26" s="61"/>
      <c r="D26" s="116"/>
      <c r="E26" s="117"/>
      <c r="F26" s="26">
        <f t="shared" si="5"/>
        <v>0</v>
      </c>
      <c r="G26" s="35"/>
      <c r="H26" s="36"/>
      <c r="I26" s="37"/>
      <c r="J26" s="77"/>
      <c r="K26" s="125"/>
      <c r="L26" s="50"/>
      <c r="M26" s="85"/>
      <c r="N26" s="85"/>
      <c r="O26" s="50"/>
    </row>
    <row r="27" s="7" customFormat="1" ht="18" customHeight="1" spans="1:15">
      <c r="A27" s="63"/>
      <c r="B27" s="26">
        <f t="shared" si="4"/>
        <v>0</v>
      </c>
      <c r="C27" s="61"/>
      <c r="D27" s="116"/>
      <c r="E27" s="117"/>
      <c r="F27" s="26">
        <f t="shared" si="5"/>
        <v>0</v>
      </c>
      <c r="G27" s="35"/>
      <c r="H27" s="36"/>
      <c r="I27" s="37"/>
      <c r="J27" s="77"/>
      <c r="K27" s="125"/>
      <c r="L27" s="50"/>
      <c r="M27" s="85"/>
      <c r="N27" s="85"/>
      <c r="O27" s="50"/>
    </row>
    <row r="28" s="7" customFormat="1" ht="18" customHeight="1" spans="1:15">
      <c r="A28" s="63"/>
      <c r="B28" s="26">
        <f t="shared" si="4"/>
        <v>0</v>
      </c>
      <c r="C28" s="61"/>
      <c r="D28" s="116"/>
      <c r="E28" s="117"/>
      <c r="F28" s="26">
        <f t="shared" si="5"/>
        <v>0</v>
      </c>
      <c r="G28" s="35"/>
      <c r="H28" s="36"/>
      <c r="I28" s="37"/>
      <c r="J28" s="77"/>
      <c r="K28" s="125"/>
      <c r="L28" s="50"/>
      <c r="M28" s="85"/>
      <c r="N28" s="85"/>
      <c r="O28" s="50"/>
    </row>
    <row r="29" s="7" customFormat="1" ht="18" customHeight="1" spans="1:15">
      <c r="A29" s="63"/>
      <c r="B29" s="26">
        <f t="shared" si="4"/>
        <v>0</v>
      </c>
      <c r="C29" s="61"/>
      <c r="D29" s="116"/>
      <c r="E29" s="117"/>
      <c r="F29" s="26">
        <f t="shared" si="5"/>
        <v>0</v>
      </c>
      <c r="G29" s="35"/>
      <c r="H29" s="36"/>
      <c r="I29" s="37"/>
      <c r="J29" s="77"/>
      <c r="K29" s="125"/>
      <c r="L29" s="50"/>
      <c r="M29" s="85"/>
      <c r="N29" s="85"/>
      <c r="O29" s="50"/>
    </row>
    <row r="30" s="7" customFormat="1" ht="18" customHeight="1" spans="1:15">
      <c r="A30" s="63"/>
      <c r="B30" s="26">
        <f t="shared" si="4"/>
        <v>0</v>
      </c>
      <c r="C30" s="61"/>
      <c r="D30" s="116"/>
      <c r="E30" s="117"/>
      <c r="F30" s="26">
        <f t="shared" si="5"/>
        <v>0</v>
      </c>
      <c r="G30" s="35"/>
      <c r="H30" s="60">
        <v>44165</v>
      </c>
      <c r="I30" s="42">
        <f>SUM(I12:I29)</f>
        <v>0</v>
      </c>
      <c r="J30" s="126" t="s">
        <v>41</v>
      </c>
      <c r="K30" s="127" t="s">
        <v>42</v>
      </c>
      <c r="L30" s="50"/>
      <c r="M30" s="85"/>
      <c r="N30" s="85"/>
      <c r="O30" s="50"/>
    </row>
    <row r="31" s="7" customFormat="1" ht="18" customHeight="1" spans="1:15">
      <c r="A31" s="63"/>
      <c r="B31" s="26">
        <f t="shared" si="4"/>
        <v>0</v>
      </c>
      <c r="C31" s="61"/>
      <c r="D31" s="116"/>
      <c r="E31" s="117"/>
      <c r="F31" s="26">
        <f t="shared" si="5"/>
        <v>0</v>
      </c>
      <c r="G31" s="35"/>
      <c r="H31" s="51">
        <v>44161</v>
      </c>
      <c r="I31" s="128">
        <f>SUM(I13:I30)</f>
        <v>0</v>
      </c>
      <c r="J31" s="129" t="s">
        <v>41</v>
      </c>
      <c r="K31" s="130" t="s">
        <v>42</v>
      </c>
      <c r="L31" s="50"/>
      <c r="M31" s="85"/>
      <c r="N31" s="85"/>
      <c r="O31" s="50"/>
    </row>
    <row r="32" ht="18" customHeight="1" spans="1:15">
      <c r="A32" s="64" t="s">
        <v>21</v>
      </c>
      <c r="B32" s="42">
        <f t="shared" ref="B32:G32" si="6">SUM(B14:B31)</f>
        <v>0</v>
      </c>
      <c r="C32" s="64"/>
      <c r="D32" s="65"/>
      <c r="E32" s="65"/>
      <c r="F32" s="66">
        <f t="shared" si="6"/>
        <v>0</v>
      </c>
      <c r="G32" s="67">
        <f t="shared" si="6"/>
        <v>0</v>
      </c>
      <c r="H32" s="68">
        <v>44160</v>
      </c>
      <c r="I32" s="128">
        <f>SUM(I14:I31)</f>
        <v>0</v>
      </c>
      <c r="J32" s="129" t="s">
        <v>41</v>
      </c>
      <c r="K32" s="130" t="s">
        <v>42</v>
      </c>
      <c r="L32" s="93"/>
      <c r="M32" s="77"/>
      <c r="N32" s="77"/>
      <c r="O32" s="93"/>
    </row>
    <row r="33" ht="18" customHeight="1" spans="1:14">
      <c r="A33" s="69" t="s">
        <v>43</v>
      </c>
      <c r="B33" s="70">
        <f>B11*0.96</f>
        <v>3743119.26605505</v>
      </c>
      <c r="C33" s="69"/>
      <c r="D33" s="71"/>
      <c r="E33" s="71"/>
      <c r="F33" s="70"/>
      <c r="G33" s="72">
        <f>G11-G32</f>
        <v>4250000</v>
      </c>
      <c r="H33" s="30" t="s">
        <v>44</v>
      </c>
      <c r="I33" s="110">
        <f>I11-I32</f>
        <v>0</v>
      </c>
      <c r="J33" s="15"/>
      <c r="K33" s="131"/>
      <c r="M33" s="14"/>
      <c r="N33" s="14"/>
    </row>
    <row r="34" ht="18" customHeight="1" spans="1:14">
      <c r="A34" s="69" t="s">
        <v>45</v>
      </c>
      <c r="B34" s="70">
        <f>B33-B32</f>
        <v>3743119.26605505</v>
      </c>
      <c r="C34" s="69"/>
      <c r="D34" s="71"/>
      <c r="E34" s="71"/>
      <c r="F34" s="70"/>
      <c r="G34" s="72"/>
      <c r="H34" s="73"/>
      <c r="I34" s="70"/>
      <c r="J34" s="15"/>
      <c r="K34" s="131"/>
      <c r="M34" s="14"/>
      <c r="N34" s="14"/>
    </row>
    <row r="35" ht="18" customHeight="1" spans="1:3">
      <c r="A35" s="9" t="s">
        <v>46</v>
      </c>
      <c r="C35" s="9"/>
    </row>
    <row r="36" ht="18" customHeight="1" spans="1:7">
      <c r="A36" s="30" t="s">
        <v>47</v>
      </c>
      <c r="B36" s="29" t="s">
        <v>48</v>
      </c>
      <c r="C36" s="93"/>
      <c r="D36" s="30" t="s">
        <v>47</v>
      </c>
      <c r="E36" s="28" t="s">
        <v>16</v>
      </c>
      <c r="F36" s="67" t="s">
        <v>48</v>
      </c>
      <c r="G36" s="24" t="s">
        <v>65</v>
      </c>
    </row>
    <row r="37" ht="18" customHeight="1" spans="1:7">
      <c r="A37" s="93" t="s">
        <v>49</v>
      </c>
      <c r="B37" s="26">
        <f>(B33-B32)*0.25</f>
        <v>935779.816513761</v>
      </c>
      <c r="C37" s="93"/>
      <c r="D37" s="41" t="s">
        <v>50</v>
      </c>
      <c r="E37" s="30" t="s">
        <v>51</v>
      </c>
      <c r="F37" s="103">
        <f>F11-F32</f>
        <v>272935.779816514</v>
      </c>
      <c r="G37" s="24">
        <f>F7-F18</f>
        <v>272935.779816514</v>
      </c>
    </row>
    <row r="38" ht="18" customHeight="1" spans="1:7">
      <c r="A38" s="93" t="s">
        <v>52</v>
      </c>
      <c r="B38" s="97"/>
      <c r="C38" s="93"/>
      <c r="D38" s="98" t="s">
        <v>53</v>
      </c>
      <c r="E38" s="22">
        <v>0.07</v>
      </c>
      <c r="F38" s="118">
        <f>F37*E38</f>
        <v>19105.504587156</v>
      </c>
      <c r="G38" s="24">
        <f>G37*E38</f>
        <v>19105.504587156</v>
      </c>
    </row>
    <row r="39" ht="18" customHeight="1" spans="1:7">
      <c r="A39" s="93" t="s">
        <v>54</v>
      </c>
      <c r="B39" s="97"/>
      <c r="C39" s="93"/>
      <c r="D39" s="98" t="s">
        <v>55</v>
      </c>
      <c r="E39" s="22">
        <v>0.03</v>
      </c>
      <c r="F39" s="118">
        <f>F37*E39</f>
        <v>8188.07339449541</v>
      </c>
      <c r="G39" s="24">
        <f>G37*E39</f>
        <v>8188.07339449541</v>
      </c>
    </row>
    <row r="40" ht="18" customHeight="1" spans="1:7">
      <c r="A40" s="93"/>
      <c r="B40" s="37"/>
      <c r="C40" s="93"/>
      <c r="D40" s="98" t="s">
        <v>56</v>
      </c>
      <c r="E40" s="22">
        <v>0.02</v>
      </c>
      <c r="F40" s="118">
        <f>F37*E40</f>
        <v>5458.71559633028</v>
      </c>
      <c r="G40" s="24">
        <f>G37*E40</f>
        <v>5458.71559633028</v>
      </c>
    </row>
    <row r="41" ht="18" customHeight="1" spans="1:7">
      <c r="A41" s="41" t="s">
        <v>57</v>
      </c>
      <c r="B41" s="42">
        <f>SUM(B37:B40)</f>
        <v>935779.816513761</v>
      </c>
      <c r="C41" s="93"/>
      <c r="D41" s="43" t="s">
        <v>57</v>
      </c>
      <c r="E41" s="41"/>
      <c r="F41" s="103">
        <f>SUM(F37:F40)</f>
        <v>305688.073394495</v>
      </c>
      <c r="G41" s="24"/>
    </row>
    <row r="42" ht="18" customHeight="1" spans="3:7">
      <c r="C42" s="9"/>
      <c r="D42" s="20" t="s">
        <v>52</v>
      </c>
      <c r="E42" s="100">
        <v>0.0003</v>
      </c>
      <c r="F42" s="118">
        <f>G11*E42</f>
        <v>1275</v>
      </c>
      <c r="G42" s="24"/>
    </row>
    <row r="43" ht="18" customHeight="1" spans="3:7">
      <c r="C43" s="9"/>
      <c r="D43" s="20" t="s">
        <v>54</v>
      </c>
      <c r="E43" s="100">
        <v>0.0006</v>
      </c>
      <c r="F43" s="118">
        <f>B11*E43</f>
        <v>2339.4495412844</v>
      </c>
      <c r="G43" s="24">
        <f>E43*B7</f>
        <v>2339.4495412844</v>
      </c>
    </row>
    <row r="44" ht="18" customHeight="1" spans="3:7">
      <c r="C44" s="9"/>
      <c r="D44" s="28" t="s">
        <v>57</v>
      </c>
      <c r="E44" s="65"/>
      <c r="F44" s="105">
        <f>F43+F42</f>
        <v>3614.4495412844</v>
      </c>
      <c r="G44" s="24">
        <f>SUM(G37:G43)</f>
        <v>308027.52293578</v>
      </c>
    </row>
    <row r="45" ht="18" customHeight="1" spans="3:7">
      <c r="C45" s="9"/>
      <c r="D45" s="28" t="s">
        <v>21</v>
      </c>
      <c r="E45" s="64"/>
      <c r="F45" s="105">
        <f>F41+F44</f>
        <v>309302.52293578</v>
      </c>
      <c r="G45" s="24"/>
    </row>
    <row r="46" ht="18" customHeight="1" spans="3:7">
      <c r="C46" s="9"/>
      <c r="D46" s="64" t="s">
        <v>49</v>
      </c>
      <c r="E46" s="65"/>
      <c r="F46" s="105">
        <v>0.01</v>
      </c>
      <c r="G46" s="24"/>
    </row>
    <row r="47" ht="18" customHeight="1" spans="3:7">
      <c r="C47" s="9"/>
      <c r="D47" s="20" t="s">
        <v>21</v>
      </c>
      <c r="E47" s="20"/>
      <c r="G47" s="24"/>
    </row>
    <row r="48" ht="18" customHeight="1" spans="3:3">
      <c r="C48" s="9"/>
    </row>
    <row r="49" ht="18" customHeight="1" spans="3:3">
      <c r="C49" s="9"/>
    </row>
    <row r="50" spans="3:3">
      <c r="C50" s="9"/>
    </row>
    <row r="51" spans="3:3">
      <c r="C51" s="9"/>
    </row>
    <row r="52" spans="3:3">
      <c r="C52" s="9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35" workbookViewId="0">
      <selection activeCell="D37" sqref="D37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2.8833333333333" style="10" customWidth="1"/>
    <col min="7" max="7" width="14.1333333333333" style="12" customWidth="1"/>
    <col min="8" max="8" width="12.5583333333333" style="11" customWidth="1"/>
    <col min="9" max="9" width="13.8833333333333" style="12" customWidth="1"/>
    <col min="10" max="10" width="6.13333333333333" style="13" customWidth="1"/>
    <col min="11" max="11" width="31.5" style="14" customWidth="1"/>
    <col min="12" max="12" width="12.75" style="14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58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31" customHeight="1" spans="1:12">
      <c r="A2" s="18" t="s">
        <v>1</v>
      </c>
      <c r="B2" s="19">
        <v>44044</v>
      </c>
      <c r="C2" s="20" t="s">
        <v>2</v>
      </c>
      <c r="D2" s="21">
        <v>6016197</v>
      </c>
      <c r="E2" s="22" t="s">
        <v>3</v>
      </c>
      <c r="F2" s="23" t="s">
        <v>59</v>
      </c>
      <c r="G2" s="24" t="s">
        <v>5</v>
      </c>
      <c r="H2" s="25" t="s">
        <v>6</v>
      </c>
      <c r="I2" s="74"/>
      <c r="J2" s="75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1" t="s">
        <v>60</v>
      </c>
      <c r="B7" s="26">
        <f t="shared" ref="B7:B10" si="0">G7/(1+C7+E7)</f>
        <v>3899082.56880734</v>
      </c>
      <c r="C7" s="32">
        <v>0.02</v>
      </c>
      <c r="D7" s="33">
        <f t="shared" ref="D7:D10" si="1">G7/(1+E7+C7)*C7</f>
        <v>77981.6513761468</v>
      </c>
      <c r="E7" s="34">
        <v>0.07</v>
      </c>
      <c r="F7" s="26">
        <f t="shared" ref="F7:F10" si="2">G7/(1+C7+E7)*E7</f>
        <v>272935.779816514</v>
      </c>
      <c r="G7" s="35">
        <v>4250000</v>
      </c>
      <c r="H7" s="36">
        <v>44181</v>
      </c>
      <c r="I7" s="24">
        <v>2624000</v>
      </c>
      <c r="J7" s="77" t="s">
        <v>38</v>
      </c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35"/>
      <c r="H8" s="36">
        <v>44181</v>
      </c>
      <c r="I8" s="24">
        <v>656000</v>
      </c>
      <c r="J8" s="77" t="s">
        <v>66</v>
      </c>
    </row>
    <row r="9" ht="18" customHeight="1" spans="1:10">
      <c r="A9" s="36"/>
      <c r="B9" s="37">
        <f t="shared" si="0"/>
        <v>0</v>
      </c>
      <c r="C9" s="38">
        <v>0.02</v>
      </c>
      <c r="D9" s="39">
        <f t="shared" si="1"/>
        <v>0</v>
      </c>
      <c r="E9" s="40">
        <v>0.07</v>
      </c>
      <c r="F9" s="37">
        <f t="shared" si="2"/>
        <v>0</v>
      </c>
      <c r="G9" s="35"/>
      <c r="H9" s="36"/>
      <c r="I9" s="24"/>
      <c r="J9" s="77"/>
    </row>
    <row r="10" ht="18" customHeight="1" spans="1:10">
      <c r="A10" s="36"/>
      <c r="B10" s="37">
        <f t="shared" si="0"/>
        <v>0</v>
      </c>
      <c r="C10" s="38">
        <v>0.02</v>
      </c>
      <c r="D10" s="39">
        <f t="shared" si="1"/>
        <v>0</v>
      </c>
      <c r="E10" s="40">
        <v>0.07</v>
      </c>
      <c r="F10" s="37">
        <f t="shared" si="2"/>
        <v>0</v>
      </c>
      <c r="G10" s="35"/>
      <c r="H10" s="36"/>
      <c r="I10" s="24"/>
      <c r="J10" s="77"/>
    </row>
    <row r="11" ht="18" customHeight="1" spans="1:10">
      <c r="A11" s="41" t="s">
        <v>21</v>
      </c>
      <c r="B11" s="42">
        <f t="shared" ref="B11:G11" si="3">SUM(B7:B10)</f>
        <v>3899082.56880734</v>
      </c>
      <c r="C11" s="64"/>
      <c r="D11" s="110">
        <f t="shared" si="3"/>
        <v>77981.6513761468</v>
      </c>
      <c r="E11" s="64"/>
      <c r="F11" s="66">
        <f t="shared" si="3"/>
        <v>272935.779816514</v>
      </c>
      <c r="G11" s="29">
        <f t="shared" si="3"/>
        <v>4250000</v>
      </c>
      <c r="H11" s="93"/>
      <c r="I11" s="29">
        <f>SUM(I7:I10)</f>
        <v>3280000</v>
      </c>
      <c r="J11" s="77"/>
    </row>
    <row r="12" ht="18" customHeight="1" spans="1:12">
      <c r="A12" s="9" t="s">
        <v>22</v>
      </c>
      <c r="J12" s="78"/>
      <c r="K12" s="78"/>
      <c r="L12" s="13"/>
    </row>
    <row r="13" ht="18" customHeight="1" spans="1:15">
      <c r="A13" s="43" t="s">
        <v>23</v>
      </c>
      <c r="B13" s="29" t="s">
        <v>24</v>
      </c>
      <c r="C13" s="28" t="s">
        <v>25</v>
      </c>
      <c r="D13" s="28" t="s">
        <v>26</v>
      </c>
      <c r="E13" s="28" t="s">
        <v>16</v>
      </c>
      <c r="F13" s="29" t="s">
        <v>27</v>
      </c>
      <c r="G13" s="29" t="s">
        <v>14</v>
      </c>
      <c r="H13" s="28" t="s">
        <v>28</v>
      </c>
      <c r="I13" s="29" t="s">
        <v>29</v>
      </c>
      <c r="J13" s="28" t="s">
        <v>20</v>
      </c>
      <c r="K13" s="79" t="s">
        <v>30</v>
      </c>
      <c r="L13" s="30" t="s">
        <v>31</v>
      </c>
      <c r="M13" s="30" t="s">
        <v>32</v>
      </c>
      <c r="N13" s="30" t="s">
        <v>33</v>
      </c>
      <c r="O13" s="30" t="s">
        <v>34</v>
      </c>
    </row>
    <row r="14" s="7" customFormat="1" ht="18" customHeight="1" spans="1:15">
      <c r="A14" s="44"/>
      <c r="B14" s="33"/>
      <c r="C14" s="45"/>
      <c r="D14" s="46"/>
      <c r="E14" s="47"/>
      <c r="F14" s="33"/>
      <c r="G14" s="48"/>
      <c r="H14" s="49">
        <v>44160</v>
      </c>
      <c r="I14" s="48">
        <v>-1000000</v>
      </c>
      <c r="J14" s="80" t="s">
        <v>35</v>
      </c>
      <c r="K14" s="81" t="s">
        <v>61</v>
      </c>
      <c r="L14" s="81" t="s">
        <v>67</v>
      </c>
      <c r="M14" s="80"/>
      <c r="N14" s="80"/>
      <c r="O14" s="50"/>
    </row>
    <row r="15" s="7" customFormat="1" ht="18" customHeight="1" spans="1:15">
      <c r="A15" s="50"/>
      <c r="B15" s="50"/>
      <c r="C15" s="50"/>
      <c r="D15" s="50"/>
      <c r="E15" s="50"/>
      <c r="F15" s="50"/>
      <c r="G15" s="50"/>
      <c r="H15" s="49">
        <v>44160</v>
      </c>
      <c r="I15" s="48">
        <v>1000000</v>
      </c>
      <c r="J15" s="80" t="s">
        <v>38</v>
      </c>
      <c r="K15" s="46" t="s">
        <v>62</v>
      </c>
      <c r="L15" s="80" t="s">
        <v>63</v>
      </c>
      <c r="M15" s="80"/>
      <c r="N15" s="80"/>
      <c r="O15" s="50"/>
    </row>
    <row r="16" s="7" customFormat="1" ht="18" customHeight="1" spans="1:15">
      <c r="A16" s="44"/>
      <c r="B16" s="33"/>
      <c r="C16" s="45"/>
      <c r="D16" s="46"/>
      <c r="E16" s="47"/>
      <c r="F16" s="33"/>
      <c r="G16" s="48"/>
      <c r="H16" s="51">
        <v>44161</v>
      </c>
      <c r="I16" s="88">
        <v>-800000</v>
      </c>
      <c r="J16" s="80" t="s">
        <v>35</v>
      </c>
      <c r="K16" s="46" t="s">
        <v>64</v>
      </c>
      <c r="L16" s="80" t="s">
        <v>37</v>
      </c>
      <c r="M16" s="80"/>
      <c r="N16" s="80"/>
      <c r="O16" s="50"/>
    </row>
    <row r="17" s="7" customFormat="1" ht="18" customHeight="1" spans="1:15">
      <c r="A17" s="52"/>
      <c r="B17" s="33"/>
      <c r="C17" s="45"/>
      <c r="D17" s="46"/>
      <c r="E17" s="47"/>
      <c r="F17" s="33"/>
      <c r="G17" s="48"/>
      <c r="H17" s="51">
        <v>44161</v>
      </c>
      <c r="I17" s="88">
        <v>800000</v>
      </c>
      <c r="J17" s="80" t="s">
        <v>38</v>
      </c>
      <c r="K17" s="46" t="s">
        <v>62</v>
      </c>
      <c r="L17" s="80" t="s">
        <v>63</v>
      </c>
      <c r="M17" s="80"/>
      <c r="N17" s="80"/>
      <c r="O17" s="50"/>
    </row>
    <row r="18" s="7" customFormat="1" ht="18" customHeight="1" spans="1:15">
      <c r="A18" s="44"/>
      <c r="B18" s="33"/>
      <c r="C18" s="45"/>
      <c r="D18" s="46"/>
      <c r="E18" s="53"/>
      <c r="F18" s="33"/>
      <c r="G18" s="48"/>
      <c r="H18" s="51">
        <v>44165</v>
      </c>
      <c r="I18" s="88">
        <v>-700000</v>
      </c>
      <c r="J18" s="80" t="s">
        <v>35</v>
      </c>
      <c r="K18" s="46" t="s">
        <v>64</v>
      </c>
      <c r="L18" s="80" t="s">
        <v>37</v>
      </c>
      <c r="M18" s="80"/>
      <c r="N18" s="80"/>
      <c r="O18" s="50"/>
    </row>
    <row r="19" s="7" customFormat="1" ht="18" customHeight="1" spans="1:15">
      <c r="A19" s="44"/>
      <c r="B19" s="33"/>
      <c r="C19" s="45"/>
      <c r="D19" s="46"/>
      <c r="E19" s="47"/>
      <c r="F19" s="33"/>
      <c r="G19" s="48"/>
      <c r="H19" s="51">
        <v>44165</v>
      </c>
      <c r="I19" s="88">
        <v>700000</v>
      </c>
      <c r="J19" s="80" t="s">
        <v>38</v>
      </c>
      <c r="K19" s="46" t="s">
        <v>62</v>
      </c>
      <c r="L19" s="80" t="s">
        <v>63</v>
      </c>
      <c r="M19" s="80"/>
      <c r="N19" s="80"/>
      <c r="O19" s="50"/>
    </row>
    <row r="20" s="7" customFormat="1" ht="18" customHeight="1" spans="1:15">
      <c r="A20" s="44">
        <v>44166</v>
      </c>
      <c r="B20" s="26">
        <f>ROUND(G20/(1+E20),2)</f>
        <v>2212389.38</v>
      </c>
      <c r="C20" s="61">
        <v>23</v>
      </c>
      <c r="D20" s="46" t="s">
        <v>68</v>
      </c>
      <c r="E20" s="53">
        <v>0.13</v>
      </c>
      <c r="F20" s="26">
        <f>ROUND(G20/(1+E20)*E20,2)</f>
        <v>287610.62</v>
      </c>
      <c r="G20" s="35">
        <v>2500000</v>
      </c>
      <c r="H20" s="51"/>
      <c r="I20" s="88"/>
      <c r="J20" s="87"/>
      <c r="K20" s="46" t="s">
        <v>62</v>
      </c>
      <c r="L20" s="80" t="s">
        <v>63</v>
      </c>
      <c r="M20" s="85"/>
      <c r="N20" s="85"/>
      <c r="O20" s="50"/>
    </row>
    <row r="21" s="7" customFormat="1" ht="18" customHeight="1" spans="1:15">
      <c r="A21" s="44"/>
      <c r="B21" s="26">
        <f t="shared" ref="B21:B33" si="4">ROUND(G21/(1+E21),2)</f>
        <v>0</v>
      </c>
      <c r="C21" s="61"/>
      <c r="D21" s="46"/>
      <c r="E21" s="53"/>
      <c r="F21" s="26"/>
      <c r="G21" s="35"/>
      <c r="H21" s="62">
        <v>44190</v>
      </c>
      <c r="I21" s="59">
        <v>1000000</v>
      </c>
      <c r="J21" s="83" t="s">
        <v>35</v>
      </c>
      <c r="K21" s="113" t="s">
        <v>69</v>
      </c>
      <c r="L21" s="80" t="s">
        <v>70</v>
      </c>
      <c r="M21" s="85"/>
      <c r="N21" s="85"/>
      <c r="O21" s="50"/>
    </row>
    <row r="22" s="7" customFormat="1" ht="18" customHeight="1" spans="1:15">
      <c r="A22" s="44"/>
      <c r="B22" s="26">
        <f t="shared" si="4"/>
        <v>0</v>
      </c>
      <c r="C22" s="61"/>
      <c r="D22" s="46"/>
      <c r="E22" s="53"/>
      <c r="F22" s="26"/>
      <c r="G22" s="35"/>
      <c r="H22" s="62">
        <v>44190</v>
      </c>
      <c r="I22" s="114">
        <v>700000</v>
      </c>
      <c r="J22" s="83" t="s">
        <v>35</v>
      </c>
      <c r="K22" s="57" t="s">
        <v>71</v>
      </c>
      <c r="L22" s="80" t="s">
        <v>37</v>
      </c>
      <c r="M22" s="85"/>
      <c r="N22" s="85"/>
      <c r="O22" s="50"/>
    </row>
    <row r="23" s="7" customFormat="1" ht="18" customHeight="1" spans="1:15">
      <c r="A23" s="44"/>
      <c r="B23" s="26">
        <f t="shared" si="4"/>
        <v>0</v>
      </c>
      <c r="C23" s="61"/>
      <c r="D23" s="46"/>
      <c r="E23" s="53"/>
      <c r="F23" s="26"/>
      <c r="G23" s="35"/>
      <c r="H23" s="62">
        <v>44190</v>
      </c>
      <c r="I23" s="59">
        <v>390000</v>
      </c>
      <c r="J23" s="83" t="s">
        <v>38</v>
      </c>
      <c r="K23" s="57" t="s">
        <v>72</v>
      </c>
      <c r="L23" s="80" t="s">
        <v>73</v>
      </c>
      <c r="M23" s="85"/>
      <c r="N23" s="85"/>
      <c r="O23" s="50"/>
    </row>
    <row r="24" s="7" customFormat="1" ht="18" customHeight="1" spans="1:15">
      <c r="A24" s="44"/>
      <c r="B24" s="26">
        <f t="shared" si="4"/>
        <v>0</v>
      </c>
      <c r="C24" s="61"/>
      <c r="D24" s="46"/>
      <c r="E24" s="53"/>
      <c r="F24" s="26"/>
      <c r="G24" s="35"/>
      <c r="H24" s="51"/>
      <c r="I24" s="88"/>
      <c r="J24" s="87"/>
      <c r="K24" s="46"/>
      <c r="L24" s="80"/>
      <c r="M24" s="85"/>
      <c r="N24" s="85"/>
      <c r="O24" s="50"/>
    </row>
    <row r="25" s="7" customFormat="1" ht="18" customHeight="1" spans="1:15">
      <c r="A25" s="44"/>
      <c r="B25" s="26">
        <f t="shared" si="4"/>
        <v>0</v>
      </c>
      <c r="C25" s="61"/>
      <c r="D25" s="46"/>
      <c r="E25" s="53"/>
      <c r="F25" s="26"/>
      <c r="G25" s="35"/>
      <c r="H25" s="51"/>
      <c r="I25" s="88"/>
      <c r="J25" s="87"/>
      <c r="K25" s="46"/>
      <c r="L25" s="80"/>
      <c r="M25" s="85"/>
      <c r="N25" s="85"/>
      <c r="O25" s="50"/>
    </row>
    <row r="26" s="7" customFormat="1" ht="18" customHeight="1" spans="1:15">
      <c r="A26" s="44"/>
      <c r="B26" s="26">
        <f t="shared" si="4"/>
        <v>0</v>
      </c>
      <c r="C26" s="61"/>
      <c r="D26" s="46"/>
      <c r="E26" s="53"/>
      <c r="F26" s="26"/>
      <c r="G26" s="35"/>
      <c r="H26" s="51"/>
      <c r="I26" s="88"/>
      <c r="J26" s="87"/>
      <c r="K26" s="46"/>
      <c r="L26" s="80"/>
      <c r="M26" s="85"/>
      <c r="N26" s="85"/>
      <c r="O26" s="50"/>
    </row>
    <row r="27" s="7" customFormat="1" ht="18" customHeight="1" spans="1:15">
      <c r="A27" s="44"/>
      <c r="B27" s="26">
        <f t="shared" si="4"/>
        <v>0</v>
      </c>
      <c r="C27" s="61"/>
      <c r="D27" s="46"/>
      <c r="E27" s="53"/>
      <c r="F27" s="26"/>
      <c r="G27" s="35"/>
      <c r="H27" s="51"/>
      <c r="I27" s="88"/>
      <c r="J27" s="87"/>
      <c r="K27" s="46"/>
      <c r="L27" s="80"/>
      <c r="M27" s="85"/>
      <c r="N27" s="85"/>
      <c r="O27" s="50"/>
    </row>
    <row r="28" s="7" customFormat="1" ht="18" customHeight="1" spans="1:15">
      <c r="A28" s="44"/>
      <c r="B28" s="26">
        <f t="shared" si="4"/>
        <v>0</v>
      </c>
      <c r="C28" s="61"/>
      <c r="D28" s="46"/>
      <c r="E28" s="53"/>
      <c r="F28" s="26"/>
      <c r="G28" s="35"/>
      <c r="H28" s="51"/>
      <c r="I28" s="88"/>
      <c r="J28" s="87"/>
      <c r="K28" s="46"/>
      <c r="L28" s="80"/>
      <c r="M28" s="85"/>
      <c r="N28" s="85"/>
      <c r="O28" s="50"/>
    </row>
    <row r="29" s="7" customFormat="1" ht="18" customHeight="1" spans="1:15">
      <c r="A29" s="44"/>
      <c r="B29" s="26">
        <f t="shared" si="4"/>
        <v>0</v>
      </c>
      <c r="C29" s="61"/>
      <c r="D29" s="46"/>
      <c r="E29" s="53"/>
      <c r="F29" s="26"/>
      <c r="G29" s="35"/>
      <c r="H29" s="51"/>
      <c r="I29" s="88"/>
      <c r="J29" s="87"/>
      <c r="K29" s="46"/>
      <c r="L29" s="80"/>
      <c r="M29" s="85"/>
      <c r="N29" s="85"/>
      <c r="O29" s="50"/>
    </row>
    <row r="30" s="7" customFormat="1" ht="18" customHeight="1" spans="1:15">
      <c r="A30" s="44"/>
      <c r="B30" s="26">
        <f t="shared" si="4"/>
        <v>0</v>
      </c>
      <c r="C30" s="61"/>
      <c r="D30" s="46"/>
      <c r="E30" s="53"/>
      <c r="F30" s="26"/>
      <c r="G30" s="35"/>
      <c r="H30" s="51"/>
      <c r="I30" s="88"/>
      <c r="J30" s="87"/>
      <c r="K30" s="46"/>
      <c r="L30" s="80"/>
      <c r="M30" s="85"/>
      <c r="N30" s="85"/>
      <c r="O30" s="50"/>
    </row>
    <row r="31" s="7" customFormat="1" ht="18" customHeight="1" spans="1:15">
      <c r="A31" s="44"/>
      <c r="B31" s="26">
        <f t="shared" si="4"/>
        <v>0</v>
      </c>
      <c r="C31" s="61"/>
      <c r="D31" s="46"/>
      <c r="E31" s="53"/>
      <c r="F31" s="26"/>
      <c r="G31" s="35"/>
      <c r="H31" s="51"/>
      <c r="I31" s="88"/>
      <c r="J31" s="87"/>
      <c r="K31" s="46"/>
      <c r="L31" s="80"/>
      <c r="M31" s="85"/>
      <c r="N31" s="85"/>
      <c r="O31" s="50"/>
    </row>
    <row r="32" s="7" customFormat="1" ht="18" customHeight="1" spans="1:15">
      <c r="A32" s="44"/>
      <c r="B32" s="26">
        <f t="shared" si="4"/>
        <v>0</v>
      </c>
      <c r="C32" s="61"/>
      <c r="D32" s="46"/>
      <c r="E32" s="53"/>
      <c r="F32" s="26"/>
      <c r="G32" s="35"/>
      <c r="H32" s="51"/>
      <c r="I32" s="88"/>
      <c r="J32" s="87"/>
      <c r="K32" s="46"/>
      <c r="L32" s="80"/>
      <c r="M32" s="85"/>
      <c r="N32" s="85"/>
      <c r="O32" s="50"/>
    </row>
    <row r="33" s="7" customFormat="1" ht="18" customHeight="1" spans="1:15">
      <c r="A33" s="44"/>
      <c r="B33" s="26">
        <f t="shared" si="4"/>
        <v>0</v>
      </c>
      <c r="C33" s="61"/>
      <c r="D33" s="46"/>
      <c r="E33" s="53"/>
      <c r="F33" s="26"/>
      <c r="G33" s="35"/>
      <c r="H33" s="60">
        <v>44190</v>
      </c>
      <c r="I33" s="111">
        <v>65600</v>
      </c>
      <c r="J33" s="82" t="s">
        <v>41</v>
      </c>
      <c r="K33" s="57" t="s">
        <v>74</v>
      </c>
      <c r="L33" s="80"/>
      <c r="M33" s="85"/>
      <c r="N33" s="85"/>
      <c r="O33" s="50"/>
    </row>
    <row r="34" s="7" customFormat="1" ht="18" customHeight="1" spans="1:15">
      <c r="A34" s="63"/>
      <c r="B34" s="26">
        <f t="shared" ref="B34:B41" si="5">ROUND(G34/(1+E34),2)</f>
        <v>0</v>
      </c>
      <c r="C34" s="61"/>
      <c r="D34" s="46"/>
      <c r="E34" s="47"/>
      <c r="F34" s="26">
        <f t="shared" ref="F34:F41" si="6">ROUND(G34/(1+E34)*E34,2)</f>
        <v>0</v>
      </c>
      <c r="G34" s="35"/>
      <c r="H34" s="60">
        <v>44190</v>
      </c>
      <c r="I34" s="111">
        <v>1900</v>
      </c>
      <c r="J34" s="82" t="s">
        <v>41</v>
      </c>
      <c r="K34" s="57" t="s">
        <v>75</v>
      </c>
      <c r="L34" s="80"/>
      <c r="M34" s="85"/>
      <c r="N34" s="85"/>
      <c r="O34" s="50"/>
    </row>
    <row r="35" s="7" customFormat="1" ht="18" customHeight="1" spans="1:15">
      <c r="A35" s="63"/>
      <c r="B35" s="26">
        <f t="shared" si="5"/>
        <v>0</v>
      </c>
      <c r="C35" s="61"/>
      <c r="D35" s="46"/>
      <c r="E35" s="47"/>
      <c r="F35" s="26">
        <f t="shared" si="6"/>
        <v>0</v>
      </c>
      <c r="G35" s="35"/>
      <c r="H35" s="60">
        <v>44190</v>
      </c>
      <c r="I35" s="111">
        <v>450</v>
      </c>
      <c r="J35" s="82" t="s">
        <v>41</v>
      </c>
      <c r="K35" s="57" t="s">
        <v>42</v>
      </c>
      <c r="L35" s="80"/>
      <c r="M35" s="85"/>
      <c r="N35" s="85"/>
      <c r="O35" s="50"/>
    </row>
    <row r="36" s="7" customFormat="1" ht="18" customHeight="1" spans="1:15">
      <c r="A36" s="63"/>
      <c r="B36" s="26">
        <f t="shared" si="5"/>
        <v>0</v>
      </c>
      <c r="C36" s="61"/>
      <c r="D36" s="46"/>
      <c r="E36" s="47"/>
      <c r="F36" s="26">
        <f t="shared" si="6"/>
        <v>0</v>
      </c>
      <c r="G36" s="35"/>
      <c r="H36" s="60">
        <v>44190</v>
      </c>
      <c r="I36" s="111">
        <v>20000</v>
      </c>
      <c r="J36" s="82" t="s">
        <v>41</v>
      </c>
      <c r="K36" s="57" t="s">
        <v>76</v>
      </c>
      <c r="L36" s="80"/>
      <c r="M36" s="85"/>
      <c r="N36" s="85"/>
      <c r="O36" s="50"/>
    </row>
    <row r="37" s="7" customFormat="1" ht="18" customHeight="1" spans="1:15">
      <c r="A37" s="63"/>
      <c r="B37" s="26">
        <f t="shared" si="5"/>
        <v>0</v>
      </c>
      <c r="C37" s="61"/>
      <c r="D37" s="46"/>
      <c r="E37" s="47"/>
      <c r="F37" s="26">
        <f t="shared" si="6"/>
        <v>0</v>
      </c>
      <c r="G37" s="35"/>
      <c r="H37" s="60">
        <v>44190</v>
      </c>
      <c r="I37" s="111">
        <v>382682</v>
      </c>
      <c r="J37" s="82" t="s">
        <v>77</v>
      </c>
      <c r="K37" s="57" t="s">
        <v>78</v>
      </c>
      <c r="L37" s="80"/>
      <c r="M37" s="85"/>
      <c r="N37" s="85"/>
      <c r="O37" s="50"/>
    </row>
    <row r="38" s="7" customFormat="1" ht="18" customHeight="1" spans="1:15">
      <c r="A38" s="63"/>
      <c r="B38" s="26">
        <f t="shared" si="5"/>
        <v>0</v>
      </c>
      <c r="C38" s="61"/>
      <c r="D38" s="46"/>
      <c r="E38" s="47"/>
      <c r="F38" s="26">
        <f t="shared" si="6"/>
        <v>0</v>
      </c>
      <c r="G38" s="35"/>
      <c r="H38" s="60">
        <v>44190</v>
      </c>
      <c r="I38" s="111">
        <v>42500</v>
      </c>
      <c r="J38" s="82" t="s">
        <v>41</v>
      </c>
      <c r="K38" s="57" t="s">
        <v>79</v>
      </c>
      <c r="L38" s="80"/>
      <c r="M38" s="85"/>
      <c r="N38" s="85"/>
      <c r="O38" s="50"/>
    </row>
    <row r="39" s="7" customFormat="1" ht="18" customHeight="1" spans="1:15">
      <c r="A39" s="63"/>
      <c r="B39" s="26">
        <f t="shared" si="5"/>
        <v>0</v>
      </c>
      <c r="C39" s="61"/>
      <c r="D39" s="46"/>
      <c r="E39" s="47"/>
      <c r="F39" s="26">
        <f t="shared" si="6"/>
        <v>0</v>
      </c>
      <c r="G39" s="35"/>
      <c r="H39" s="60">
        <v>44190</v>
      </c>
      <c r="I39" s="111">
        <v>2339</v>
      </c>
      <c r="J39" s="82" t="s">
        <v>41</v>
      </c>
      <c r="K39" s="57" t="s">
        <v>80</v>
      </c>
      <c r="L39" s="80"/>
      <c r="M39" s="85"/>
      <c r="N39" s="85"/>
      <c r="O39" s="50"/>
    </row>
    <row r="40" ht="18" customHeight="1" spans="1:15">
      <c r="A40" s="64" t="s">
        <v>21</v>
      </c>
      <c r="B40" s="42">
        <f>SUM(B14:B39)</f>
        <v>2212389.38</v>
      </c>
      <c r="C40" s="64"/>
      <c r="D40" s="65"/>
      <c r="E40" s="65"/>
      <c r="F40" s="66">
        <f>SUM(F14:F39)</f>
        <v>287610.62</v>
      </c>
      <c r="G40" s="67">
        <f>SUM(G14:G39)</f>
        <v>2500000</v>
      </c>
      <c r="H40" s="68"/>
      <c r="I40" s="90">
        <f>SUM(I14:I39)</f>
        <v>2605471</v>
      </c>
      <c r="J40" s="91" t="s">
        <v>41</v>
      </c>
      <c r="K40" s="92" t="s">
        <v>42</v>
      </c>
      <c r="L40" s="77"/>
      <c r="M40" s="77"/>
      <c r="N40" s="77"/>
      <c r="O40" s="93"/>
    </row>
    <row r="41" ht="18" customHeight="1" spans="1:14">
      <c r="A41" s="69" t="s">
        <v>43</v>
      </c>
      <c r="B41" s="70">
        <f>B11*0.96</f>
        <v>3743119.26605505</v>
      </c>
      <c r="C41" s="69"/>
      <c r="D41" s="71"/>
      <c r="E41" s="71"/>
      <c r="F41" s="70"/>
      <c r="G41" s="72">
        <f>G11-G40</f>
        <v>1750000</v>
      </c>
      <c r="H41" s="30" t="s">
        <v>44</v>
      </c>
      <c r="I41" s="29">
        <f>I11-I40</f>
        <v>674529</v>
      </c>
      <c r="J41" s="14"/>
      <c r="K41" s="94"/>
      <c r="M41" s="14"/>
      <c r="N41" s="14"/>
    </row>
    <row r="42" ht="18" customHeight="1" spans="1:14">
      <c r="A42" s="69" t="s">
        <v>45</v>
      </c>
      <c r="B42" s="70">
        <f>B41-B40</f>
        <v>1530729.88605505</v>
      </c>
      <c r="C42" s="69"/>
      <c r="D42" s="71"/>
      <c r="E42" s="71"/>
      <c r="F42" s="70"/>
      <c r="G42" s="72"/>
      <c r="H42" s="73"/>
      <c r="I42" s="72"/>
      <c r="J42" s="14"/>
      <c r="K42" s="94"/>
      <c r="M42" s="14"/>
      <c r="N42" s="14"/>
    </row>
    <row r="43" ht="18" customHeight="1" spans="1:3">
      <c r="A43" s="9" t="s">
        <v>46</v>
      </c>
      <c r="C43" s="9"/>
    </row>
    <row r="44" ht="18" customHeight="1" spans="1:7">
      <c r="A44" s="30" t="s">
        <v>47</v>
      </c>
      <c r="B44" s="29" t="s">
        <v>48</v>
      </c>
      <c r="C44" s="93"/>
      <c r="D44" s="30" t="s">
        <v>47</v>
      </c>
      <c r="E44" s="28" t="s">
        <v>16</v>
      </c>
      <c r="F44" s="67" t="s">
        <v>48</v>
      </c>
      <c r="G44" s="24" t="s">
        <v>81</v>
      </c>
    </row>
    <row r="45" ht="18" customHeight="1" spans="1:7">
      <c r="A45" s="93" t="s">
        <v>49</v>
      </c>
      <c r="B45" s="26">
        <f>(B41-B40)*0.25</f>
        <v>382682.471513762</v>
      </c>
      <c r="C45" s="93"/>
      <c r="D45" s="41" t="s">
        <v>50</v>
      </c>
      <c r="E45" s="30" t="s">
        <v>51</v>
      </c>
      <c r="F45" s="95">
        <f>F11-F40</f>
        <v>-14674.840183486</v>
      </c>
      <c r="G45" s="96">
        <f>F7-F20</f>
        <v>-14674.840183486</v>
      </c>
    </row>
    <row r="46" ht="18" customHeight="1" spans="1:7">
      <c r="A46" s="93" t="s">
        <v>52</v>
      </c>
      <c r="B46" s="97"/>
      <c r="C46" s="93"/>
      <c r="D46" s="98" t="s">
        <v>53</v>
      </c>
      <c r="E46" s="22">
        <v>0.07</v>
      </c>
      <c r="F46" s="99">
        <f>F45*E46</f>
        <v>-1027.23881284402</v>
      </c>
      <c r="G46" s="96">
        <f>G45*E46</f>
        <v>-1027.23881284402</v>
      </c>
    </row>
    <row r="47" ht="18" customHeight="1" spans="1:7">
      <c r="A47" s="93" t="s">
        <v>54</v>
      </c>
      <c r="B47" s="97"/>
      <c r="C47" s="93"/>
      <c r="D47" s="98" t="s">
        <v>55</v>
      </c>
      <c r="E47" s="22">
        <v>0.03</v>
      </c>
      <c r="F47" s="99">
        <f>F45*E47</f>
        <v>-440.24520550458</v>
      </c>
      <c r="G47" s="96">
        <f>G45*E47</f>
        <v>-440.24520550458</v>
      </c>
    </row>
    <row r="48" ht="18" customHeight="1" spans="1:10">
      <c r="A48" s="93"/>
      <c r="B48" s="37"/>
      <c r="C48" s="93"/>
      <c r="D48" s="98" t="s">
        <v>56</v>
      </c>
      <c r="E48" s="22">
        <v>0.02</v>
      </c>
      <c r="F48" s="99">
        <f>F45*E48</f>
        <v>-293.49680366972</v>
      </c>
      <c r="G48" s="96">
        <f>G45*E48</f>
        <v>-293.49680366972</v>
      </c>
      <c r="J48" s="13" t="s">
        <v>82</v>
      </c>
    </row>
    <row r="49" ht="18" customHeight="1" spans="1:7">
      <c r="A49" s="41" t="s">
        <v>57</v>
      </c>
      <c r="B49" s="42">
        <f>SUM(B45:B48)</f>
        <v>382682.471513762</v>
      </c>
      <c r="C49" s="93"/>
      <c r="D49" s="43" t="s">
        <v>57</v>
      </c>
      <c r="E49" s="41"/>
      <c r="F49" s="95">
        <f>SUM(F45:F48)</f>
        <v>-16435.8210055043</v>
      </c>
      <c r="G49" s="96">
        <v>0</v>
      </c>
    </row>
    <row r="50" ht="18" customHeight="1" spans="3:7">
      <c r="C50" s="9"/>
      <c r="D50" s="20" t="s">
        <v>52</v>
      </c>
      <c r="E50" s="100">
        <v>0.0003</v>
      </c>
      <c r="F50" s="99">
        <f>G11*E50</f>
        <v>1275</v>
      </c>
      <c r="G50" s="96">
        <v>0</v>
      </c>
    </row>
    <row r="51" ht="18" customHeight="1" spans="3:7">
      <c r="C51" s="9"/>
      <c r="D51" s="20" t="s">
        <v>54</v>
      </c>
      <c r="E51" s="100">
        <v>0.0006</v>
      </c>
      <c r="F51" s="99">
        <f>B11*E51</f>
        <v>2339.4495412844</v>
      </c>
      <c r="G51" s="96">
        <f>E51*B7</f>
        <v>2339.4495412844</v>
      </c>
    </row>
    <row r="52" ht="18" customHeight="1" spans="3:7">
      <c r="C52" s="9"/>
      <c r="D52" s="101" t="s">
        <v>57</v>
      </c>
      <c r="E52" s="102"/>
      <c r="F52" s="103">
        <f>F51+F50</f>
        <v>3614.4495412844</v>
      </c>
      <c r="G52" s="104">
        <f>G49+G50+G51</f>
        <v>2339.4495412844</v>
      </c>
    </row>
    <row r="53" ht="18" customHeight="1" spans="3:7">
      <c r="C53" s="9"/>
      <c r="D53" s="28" t="s">
        <v>21</v>
      </c>
      <c r="E53" s="64"/>
      <c r="F53" s="105">
        <f>F49+F52</f>
        <v>-12821.3714642199</v>
      </c>
      <c r="G53" s="96"/>
    </row>
    <row r="54" ht="18" customHeight="1" spans="3:7">
      <c r="C54" s="9"/>
      <c r="D54" s="106" t="s">
        <v>83</v>
      </c>
      <c r="E54" s="102">
        <v>0.01</v>
      </c>
      <c r="F54" s="103"/>
      <c r="G54" s="104">
        <f>E54*G7</f>
        <v>42500</v>
      </c>
    </row>
    <row r="55" ht="18" customHeight="1" spans="3:7">
      <c r="C55" s="9"/>
      <c r="D55" s="107" t="s">
        <v>84</v>
      </c>
      <c r="E55" s="107"/>
      <c r="F55" s="108"/>
      <c r="G55" s="104">
        <f>1530729.89*0.25</f>
        <v>382682.4725</v>
      </c>
    </row>
    <row r="56" ht="18" customHeight="1" spans="3:3">
      <c r="C56" s="9"/>
    </row>
    <row r="57" ht="18" customHeight="1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opLeftCell="A34" workbookViewId="0">
      <selection activeCell="J49" sqref="J49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2.8833333333333" style="10" customWidth="1"/>
    <col min="7" max="7" width="14.1333333333333" style="12" customWidth="1"/>
    <col min="8" max="8" width="12.5583333333333" style="11" customWidth="1"/>
    <col min="9" max="9" width="13.8833333333333" style="12" customWidth="1"/>
    <col min="10" max="10" width="6.13333333333333" style="13" customWidth="1"/>
    <col min="11" max="11" width="31.5" style="14" customWidth="1"/>
    <col min="12" max="12" width="12.75" style="14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58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31" customHeight="1" spans="1:12">
      <c r="A2" s="18" t="s">
        <v>1</v>
      </c>
      <c r="B2" s="19">
        <v>44044</v>
      </c>
      <c r="C2" s="20" t="s">
        <v>2</v>
      </c>
      <c r="D2" s="21">
        <v>6016197</v>
      </c>
      <c r="E2" s="22" t="s">
        <v>3</v>
      </c>
      <c r="F2" s="23" t="s">
        <v>59</v>
      </c>
      <c r="G2" s="24" t="s">
        <v>5</v>
      </c>
      <c r="H2" s="25" t="s">
        <v>6</v>
      </c>
      <c r="I2" s="74"/>
      <c r="J2" s="75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1" t="s">
        <v>60</v>
      </c>
      <c r="B7" s="26">
        <f t="shared" ref="B7:B10" si="0">G7/(1+C7+E7)</f>
        <v>3899082.56880734</v>
      </c>
      <c r="C7" s="32">
        <v>0.02</v>
      </c>
      <c r="D7" s="33">
        <f t="shared" ref="D7:D10" si="1">G7/(1+E7+C7)*C7</f>
        <v>77981.6513761468</v>
      </c>
      <c r="E7" s="34">
        <v>0.07</v>
      </c>
      <c r="F7" s="26">
        <f t="shared" ref="F7:F10" si="2">G7/(1+C7+E7)*E7</f>
        <v>272935.779816514</v>
      </c>
      <c r="G7" s="35">
        <v>4250000</v>
      </c>
      <c r="H7" s="36">
        <v>44181</v>
      </c>
      <c r="I7" s="24">
        <v>2624000</v>
      </c>
      <c r="J7" s="77" t="s">
        <v>38</v>
      </c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35"/>
      <c r="H8" s="36">
        <v>44181</v>
      </c>
      <c r="I8" s="24">
        <v>656000</v>
      </c>
      <c r="J8" s="77" t="s">
        <v>66</v>
      </c>
    </row>
    <row r="9" ht="18" customHeight="1" spans="1:10">
      <c r="A9" s="36"/>
      <c r="B9" s="37">
        <f t="shared" si="0"/>
        <v>0</v>
      </c>
      <c r="C9" s="38">
        <v>0.02</v>
      </c>
      <c r="D9" s="39">
        <f t="shared" si="1"/>
        <v>0</v>
      </c>
      <c r="E9" s="40">
        <v>0.07</v>
      </c>
      <c r="F9" s="37">
        <f t="shared" si="2"/>
        <v>0</v>
      </c>
      <c r="G9" s="35"/>
      <c r="H9" s="36">
        <v>44194</v>
      </c>
      <c r="I9" s="24">
        <v>680000</v>
      </c>
      <c r="J9" s="77" t="s">
        <v>38</v>
      </c>
    </row>
    <row r="10" ht="18" customHeight="1" spans="1:10">
      <c r="A10" s="36"/>
      <c r="B10" s="37">
        <f t="shared" si="0"/>
        <v>0</v>
      </c>
      <c r="C10" s="38">
        <v>0.02</v>
      </c>
      <c r="D10" s="39">
        <f t="shared" si="1"/>
        <v>0</v>
      </c>
      <c r="E10" s="40">
        <v>0.07</v>
      </c>
      <c r="F10" s="37">
        <f t="shared" si="2"/>
        <v>0</v>
      </c>
      <c r="G10" s="35"/>
      <c r="H10" s="36">
        <v>44194</v>
      </c>
      <c r="I10" s="24">
        <v>170000</v>
      </c>
      <c r="J10" s="77" t="s">
        <v>66</v>
      </c>
    </row>
    <row r="11" ht="18" customHeight="1" spans="1:10">
      <c r="A11" s="41" t="s">
        <v>21</v>
      </c>
      <c r="B11" s="42">
        <f t="shared" ref="B11:G11" si="3">SUM(B7:B10)</f>
        <v>3899082.56880734</v>
      </c>
      <c r="C11" s="64"/>
      <c r="D11" s="110">
        <f t="shared" si="3"/>
        <v>77981.6513761468</v>
      </c>
      <c r="E11" s="64"/>
      <c r="F11" s="66">
        <f t="shared" si="3"/>
        <v>272935.779816514</v>
      </c>
      <c r="G11" s="29">
        <f t="shared" si="3"/>
        <v>4250000</v>
      </c>
      <c r="H11" s="93"/>
      <c r="I11" s="29">
        <f>SUM(I7:I10)</f>
        <v>4130000</v>
      </c>
      <c r="J11" s="77"/>
    </row>
    <row r="12" ht="18" customHeight="1" spans="1:12">
      <c r="A12" s="9" t="s">
        <v>22</v>
      </c>
      <c r="J12" s="78"/>
      <c r="K12" s="78"/>
      <c r="L12" s="13"/>
    </row>
    <row r="13" ht="18" customHeight="1" spans="1:15">
      <c r="A13" s="43" t="s">
        <v>23</v>
      </c>
      <c r="B13" s="29" t="s">
        <v>24</v>
      </c>
      <c r="C13" s="28" t="s">
        <v>25</v>
      </c>
      <c r="D13" s="28" t="s">
        <v>26</v>
      </c>
      <c r="E13" s="28" t="s">
        <v>16</v>
      </c>
      <c r="F13" s="29" t="s">
        <v>27</v>
      </c>
      <c r="G13" s="29" t="s">
        <v>14</v>
      </c>
      <c r="H13" s="28" t="s">
        <v>28</v>
      </c>
      <c r="I13" s="29" t="s">
        <v>29</v>
      </c>
      <c r="J13" s="28" t="s">
        <v>20</v>
      </c>
      <c r="K13" s="79" t="s">
        <v>30</v>
      </c>
      <c r="L13" s="30" t="s">
        <v>31</v>
      </c>
      <c r="M13" s="30" t="s">
        <v>32</v>
      </c>
      <c r="N13" s="30" t="s">
        <v>33</v>
      </c>
      <c r="O13" s="30" t="s">
        <v>34</v>
      </c>
    </row>
    <row r="14" s="7" customFormat="1" ht="18" customHeight="1" spans="1:15">
      <c r="A14" s="44"/>
      <c r="B14" s="33"/>
      <c r="C14" s="45"/>
      <c r="D14" s="46"/>
      <c r="E14" s="47"/>
      <c r="F14" s="33"/>
      <c r="G14" s="48"/>
      <c r="H14" s="49">
        <v>44160</v>
      </c>
      <c r="I14" s="48">
        <v>-1000000</v>
      </c>
      <c r="J14" s="80" t="s">
        <v>35</v>
      </c>
      <c r="K14" s="81" t="s">
        <v>61</v>
      </c>
      <c r="L14" s="81" t="s">
        <v>67</v>
      </c>
      <c r="M14" s="80"/>
      <c r="N14" s="80"/>
      <c r="O14" s="50"/>
    </row>
    <row r="15" s="7" customFormat="1" ht="18" customHeight="1" spans="1:15">
      <c r="A15" s="50"/>
      <c r="B15" s="50"/>
      <c r="C15" s="50"/>
      <c r="D15" s="50"/>
      <c r="E15" s="50"/>
      <c r="F15" s="50"/>
      <c r="G15" s="50"/>
      <c r="H15" s="49">
        <v>44160</v>
      </c>
      <c r="I15" s="48">
        <v>1000000</v>
      </c>
      <c r="J15" s="80" t="s">
        <v>38</v>
      </c>
      <c r="K15" s="46" t="s">
        <v>62</v>
      </c>
      <c r="L15" s="80" t="s">
        <v>63</v>
      </c>
      <c r="M15" s="80"/>
      <c r="N15" s="80"/>
      <c r="O15" s="50"/>
    </row>
    <row r="16" s="7" customFormat="1" ht="18" customHeight="1" spans="1:15">
      <c r="A16" s="44"/>
      <c r="B16" s="33"/>
      <c r="C16" s="45"/>
      <c r="D16" s="46"/>
      <c r="E16" s="47"/>
      <c r="F16" s="33"/>
      <c r="G16" s="48"/>
      <c r="H16" s="51">
        <v>44161</v>
      </c>
      <c r="I16" s="88">
        <v>-800000</v>
      </c>
      <c r="J16" s="80" t="s">
        <v>35</v>
      </c>
      <c r="K16" s="46" t="s">
        <v>64</v>
      </c>
      <c r="L16" s="80" t="s">
        <v>37</v>
      </c>
      <c r="M16" s="80"/>
      <c r="N16" s="80"/>
      <c r="O16" s="50"/>
    </row>
    <row r="17" s="7" customFormat="1" ht="18" customHeight="1" spans="1:15">
      <c r="A17" s="52"/>
      <c r="B17" s="33"/>
      <c r="C17" s="45"/>
      <c r="D17" s="46"/>
      <c r="E17" s="47"/>
      <c r="F17" s="33"/>
      <c r="G17" s="48"/>
      <c r="H17" s="51">
        <v>44161</v>
      </c>
      <c r="I17" s="88">
        <v>800000</v>
      </c>
      <c r="J17" s="80" t="s">
        <v>38</v>
      </c>
      <c r="K17" s="46" t="s">
        <v>62</v>
      </c>
      <c r="L17" s="80" t="s">
        <v>63</v>
      </c>
      <c r="M17" s="80"/>
      <c r="N17" s="80"/>
      <c r="O17" s="50"/>
    </row>
    <row r="18" s="7" customFormat="1" ht="18" customHeight="1" spans="1:15">
      <c r="A18" s="44"/>
      <c r="B18" s="33"/>
      <c r="C18" s="45"/>
      <c r="D18" s="46"/>
      <c r="E18" s="53"/>
      <c r="F18" s="33"/>
      <c r="G18" s="48"/>
      <c r="H18" s="51">
        <v>44165</v>
      </c>
      <c r="I18" s="88">
        <v>-700000</v>
      </c>
      <c r="J18" s="80" t="s">
        <v>35</v>
      </c>
      <c r="K18" s="46" t="s">
        <v>64</v>
      </c>
      <c r="L18" s="80" t="s">
        <v>37</v>
      </c>
      <c r="M18" s="80"/>
      <c r="N18" s="80"/>
      <c r="O18" s="50"/>
    </row>
    <row r="19" s="7" customFormat="1" ht="18" customHeight="1" spans="1:15">
      <c r="A19" s="44"/>
      <c r="B19" s="33"/>
      <c r="C19" s="45"/>
      <c r="D19" s="46"/>
      <c r="E19" s="47"/>
      <c r="F19" s="33"/>
      <c r="G19" s="48"/>
      <c r="H19" s="51">
        <v>44165</v>
      </c>
      <c r="I19" s="88">
        <v>700000</v>
      </c>
      <c r="J19" s="80" t="s">
        <v>38</v>
      </c>
      <c r="K19" s="46" t="s">
        <v>62</v>
      </c>
      <c r="L19" s="80" t="s">
        <v>63</v>
      </c>
      <c r="M19" s="80"/>
      <c r="N19" s="80"/>
      <c r="O19" s="50"/>
    </row>
    <row r="20" s="7" customFormat="1" ht="18" customHeight="1" spans="1:15">
      <c r="A20" s="44">
        <v>44166</v>
      </c>
      <c r="B20" s="26">
        <f t="shared" ref="B20:B39" si="4">ROUND(G20/(1+E20),2)</f>
        <v>2212389.38</v>
      </c>
      <c r="C20" s="61">
        <v>23</v>
      </c>
      <c r="D20" s="46" t="s">
        <v>68</v>
      </c>
      <c r="E20" s="53">
        <v>0.13</v>
      </c>
      <c r="F20" s="26">
        <f>ROUND(G20/(1+E20)*E20,2)</f>
        <v>287610.62</v>
      </c>
      <c r="G20" s="35">
        <v>2500000</v>
      </c>
      <c r="H20" s="51"/>
      <c r="I20" s="88"/>
      <c r="J20" s="87"/>
      <c r="K20" s="46" t="s">
        <v>62</v>
      </c>
      <c r="L20" s="80" t="s">
        <v>63</v>
      </c>
      <c r="M20" s="85"/>
      <c r="N20" s="85"/>
      <c r="O20" s="50"/>
    </row>
    <row r="21" s="7" customFormat="1" ht="18" customHeight="1" spans="1:15">
      <c r="A21" s="44"/>
      <c r="B21" s="26">
        <f t="shared" si="4"/>
        <v>0</v>
      </c>
      <c r="C21" s="61"/>
      <c r="D21" s="46"/>
      <c r="E21" s="53"/>
      <c r="F21" s="26">
        <f>ROUND(G21/(1+E21)*E21,2)</f>
        <v>0</v>
      </c>
      <c r="G21" s="35"/>
      <c r="H21" s="49">
        <v>44190</v>
      </c>
      <c r="I21" s="48">
        <v>1000000</v>
      </c>
      <c r="J21" s="80" t="s">
        <v>35</v>
      </c>
      <c r="K21" s="81" t="s">
        <v>69</v>
      </c>
      <c r="L21" s="80" t="s">
        <v>70</v>
      </c>
      <c r="M21" s="85"/>
      <c r="N21" s="85"/>
      <c r="O21" s="50"/>
    </row>
    <row r="22" s="7" customFormat="1" ht="18" customHeight="1" spans="1:15">
      <c r="A22" s="44"/>
      <c r="B22" s="26">
        <f t="shared" si="4"/>
        <v>0</v>
      </c>
      <c r="C22" s="61"/>
      <c r="D22" s="46"/>
      <c r="E22" s="53"/>
      <c r="F22" s="26">
        <f>ROUND(G22/(1+E22)*E22,2)</f>
        <v>0</v>
      </c>
      <c r="G22" s="35"/>
      <c r="H22" s="49">
        <v>44190</v>
      </c>
      <c r="I22" s="86">
        <v>700000</v>
      </c>
      <c r="J22" s="80" t="s">
        <v>35</v>
      </c>
      <c r="K22" s="46" t="s">
        <v>71</v>
      </c>
      <c r="L22" s="80" t="s">
        <v>37</v>
      </c>
      <c r="M22" s="85"/>
      <c r="N22" s="85"/>
      <c r="O22" s="50"/>
    </row>
    <row r="23" s="7" customFormat="1" ht="18" customHeight="1" spans="1:15">
      <c r="A23" s="44">
        <v>44166</v>
      </c>
      <c r="B23" s="26">
        <f t="shared" si="4"/>
        <v>608910.89</v>
      </c>
      <c r="C23" s="61">
        <v>7</v>
      </c>
      <c r="D23" s="46" t="s">
        <v>68</v>
      </c>
      <c r="E23" s="53">
        <v>0.01</v>
      </c>
      <c r="F23" s="26">
        <f>ROUND(G23/(1+E23)*E23,2)</f>
        <v>6089.11</v>
      </c>
      <c r="G23" s="35">
        <v>615000</v>
      </c>
      <c r="H23" s="49">
        <v>44190</v>
      </c>
      <c r="I23" s="48">
        <v>390000</v>
      </c>
      <c r="J23" s="80" t="s">
        <v>38</v>
      </c>
      <c r="K23" s="46" t="s">
        <v>72</v>
      </c>
      <c r="L23" s="80" t="s">
        <v>73</v>
      </c>
      <c r="M23" s="85"/>
      <c r="N23" s="85"/>
      <c r="O23" s="50"/>
    </row>
    <row r="24" s="7" customFormat="1" ht="18" customHeight="1" spans="1:15">
      <c r="A24" s="44">
        <v>44166</v>
      </c>
      <c r="B24" s="26">
        <f t="shared" si="4"/>
        <v>254841.59</v>
      </c>
      <c r="C24" s="61">
        <v>3</v>
      </c>
      <c r="D24" s="46" t="s">
        <v>68</v>
      </c>
      <c r="E24" s="53">
        <v>0.13</v>
      </c>
      <c r="F24" s="26">
        <f>ROUND(G24/(1+E24)*E24,2)</f>
        <v>33129.41</v>
      </c>
      <c r="G24" s="35">
        <v>287971</v>
      </c>
      <c r="H24" s="51"/>
      <c r="I24" s="88"/>
      <c r="J24" s="87"/>
      <c r="K24" s="46" t="s">
        <v>62</v>
      </c>
      <c r="L24" s="80" t="s">
        <v>63</v>
      </c>
      <c r="M24" s="85"/>
      <c r="N24" s="85"/>
      <c r="O24" s="50"/>
    </row>
    <row r="25" s="7" customFormat="1" ht="18" customHeight="1" spans="1:15">
      <c r="A25" s="44"/>
      <c r="B25" s="26"/>
      <c r="C25" s="61"/>
      <c r="D25" s="46"/>
      <c r="E25" s="53"/>
      <c r="F25" s="26"/>
      <c r="G25" s="35"/>
      <c r="H25" s="60" t="s">
        <v>85</v>
      </c>
      <c r="I25" s="111">
        <v>287971</v>
      </c>
      <c r="J25" s="83" t="s">
        <v>38</v>
      </c>
      <c r="K25" s="57" t="s">
        <v>62</v>
      </c>
      <c r="L25" s="83" t="s">
        <v>63</v>
      </c>
      <c r="M25" s="85"/>
      <c r="N25" s="85"/>
      <c r="O25" s="50"/>
    </row>
    <row r="26" s="7" customFormat="1" ht="18" customHeight="1" spans="1:15">
      <c r="A26" s="44"/>
      <c r="B26" s="26">
        <f t="shared" si="4"/>
        <v>0</v>
      </c>
      <c r="C26" s="61"/>
      <c r="D26" s="46"/>
      <c r="E26" s="53"/>
      <c r="F26" s="26"/>
      <c r="G26" s="35"/>
      <c r="H26" s="51"/>
      <c r="I26" s="88"/>
      <c r="J26" s="87"/>
      <c r="K26" s="46"/>
      <c r="L26" s="80"/>
      <c r="M26" s="85"/>
      <c r="N26" s="85"/>
      <c r="O26" s="50"/>
    </row>
    <row r="27" s="7" customFormat="1" ht="18" customHeight="1" spans="1:15">
      <c r="A27" s="44"/>
      <c r="B27" s="26">
        <f t="shared" si="4"/>
        <v>0</v>
      </c>
      <c r="C27" s="61"/>
      <c r="D27" s="46"/>
      <c r="E27" s="53"/>
      <c r="F27" s="26"/>
      <c r="G27" s="35"/>
      <c r="H27" s="51"/>
      <c r="I27" s="88"/>
      <c r="J27" s="87"/>
      <c r="K27" s="46"/>
      <c r="L27" s="80"/>
      <c r="M27" s="85"/>
      <c r="N27" s="85"/>
      <c r="O27" s="50"/>
    </row>
    <row r="28" s="7" customFormat="1" ht="18" customHeight="1" spans="1:15">
      <c r="A28" s="44"/>
      <c r="B28" s="26">
        <f t="shared" si="4"/>
        <v>0</v>
      </c>
      <c r="C28" s="61"/>
      <c r="D28" s="46"/>
      <c r="E28" s="53"/>
      <c r="F28" s="26"/>
      <c r="G28" s="35"/>
      <c r="H28" s="51"/>
      <c r="I28" s="88"/>
      <c r="J28" s="87"/>
      <c r="K28" s="46"/>
      <c r="L28" s="80"/>
      <c r="M28" s="85"/>
      <c r="N28" s="85"/>
      <c r="O28" s="50"/>
    </row>
    <row r="29" s="7" customFormat="1" ht="18" customHeight="1" spans="1:15">
      <c r="A29" s="44"/>
      <c r="B29" s="26">
        <f t="shared" si="4"/>
        <v>0</v>
      </c>
      <c r="C29" s="61"/>
      <c r="D29" s="46"/>
      <c r="E29" s="53"/>
      <c r="F29" s="26"/>
      <c r="G29" s="35"/>
      <c r="H29" s="51"/>
      <c r="I29" s="88"/>
      <c r="J29" s="87"/>
      <c r="K29" s="46"/>
      <c r="L29" s="80"/>
      <c r="M29" s="85"/>
      <c r="N29" s="85"/>
      <c r="O29" s="50"/>
    </row>
    <row r="30" s="7" customFormat="1" ht="18" customHeight="1" spans="1:15">
      <c r="A30" s="44"/>
      <c r="B30" s="26">
        <f t="shared" si="4"/>
        <v>0</v>
      </c>
      <c r="C30" s="61"/>
      <c r="D30" s="46"/>
      <c r="E30" s="53"/>
      <c r="F30" s="26"/>
      <c r="G30" s="35"/>
      <c r="H30" s="60" t="s">
        <v>85</v>
      </c>
      <c r="I30" s="111">
        <v>100</v>
      </c>
      <c r="J30" s="82" t="s">
        <v>41</v>
      </c>
      <c r="K30" s="57" t="s">
        <v>86</v>
      </c>
      <c r="L30" s="80"/>
      <c r="M30" s="85"/>
      <c r="N30" s="85"/>
      <c r="O30" s="50"/>
    </row>
    <row r="31" s="7" customFormat="1" ht="18" customHeight="1" spans="1:15">
      <c r="A31" s="44"/>
      <c r="B31" s="26">
        <f t="shared" si="4"/>
        <v>0</v>
      </c>
      <c r="C31" s="61"/>
      <c r="D31" s="46"/>
      <c r="E31" s="53"/>
      <c r="F31" s="26"/>
      <c r="G31" s="35"/>
      <c r="H31" s="60">
        <v>44195</v>
      </c>
      <c r="I31" s="111">
        <v>17000</v>
      </c>
      <c r="J31" s="82" t="s">
        <v>41</v>
      </c>
      <c r="K31" s="57" t="s">
        <v>74</v>
      </c>
      <c r="L31" s="80"/>
      <c r="M31" s="85"/>
      <c r="N31" s="85"/>
      <c r="O31" s="50"/>
    </row>
    <row r="32" s="7" customFormat="1" ht="18" customHeight="1" spans="1:15">
      <c r="A32" s="44"/>
      <c r="B32" s="26">
        <f t="shared" si="4"/>
        <v>0</v>
      </c>
      <c r="C32" s="61"/>
      <c r="D32" s="46"/>
      <c r="E32" s="53"/>
      <c r="F32" s="26"/>
      <c r="G32" s="35"/>
      <c r="H32" s="60" t="s">
        <v>85</v>
      </c>
      <c r="I32" s="111">
        <v>-215938</v>
      </c>
      <c r="J32" s="82" t="s">
        <v>87</v>
      </c>
      <c r="K32" s="57" t="s">
        <v>88</v>
      </c>
      <c r="L32" s="80"/>
      <c r="M32" s="85"/>
      <c r="N32" s="85"/>
      <c r="O32" s="50"/>
    </row>
    <row r="33" s="7" customFormat="1" ht="18" customHeight="1" spans="1:15">
      <c r="A33" s="44"/>
      <c r="B33" s="26"/>
      <c r="C33" s="61"/>
      <c r="D33" s="46"/>
      <c r="E33" s="53"/>
      <c r="F33" s="26"/>
      <c r="G33" s="35"/>
      <c r="H33" s="60">
        <v>44190</v>
      </c>
      <c r="I33" s="112">
        <f>-(I34+I35+I39+I40)</f>
        <v>-112339</v>
      </c>
      <c r="J33" s="82" t="s">
        <v>89</v>
      </c>
      <c r="K33" s="57" t="s">
        <v>90</v>
      </c>
      <c r="L33" s="80"/>
      <c r="M33" s="85"/>
      <c r="N33" s="85"/>
      <c r="O33" s="50"/>
    </row>
    <row r="34" s="7" customFormat="1" ht="18" customHeight="1" spans="1:15">
      <c r="A34" s="44"/>
      <c r="B34" s="26">
        <f t="shared" ref="B34:B40" si="5">ROUND(G34/(1+E34),2)</f>
        <v>0</v>
      </c>
      <c r="C34" s="61"/>
      <c r="D34" s="46"/>
      <c r="E34" s="53"/>
      <c r="F34" s="26"/>
      <c r="G34" s="35"/>
      <c r="H34" s="51">
        <v>44190</v>
      </c>
      <c r="I34" s="88">
        <v>65600</v>
      </c>
      <c r="J34" s="87" t="s">
        <v>41</v>
      </c>
      <c r="K34" s="46" t="s">
        <v>74</v>
      </c>
      <c r="L34" s="80"/>
      <c r="M34" s="85"/>
      <c r="N34" s="85"/>
      <c r="O34" s="50"/>
    </row>
    <row r="35" s="7" customFormat="1" ht="18" customHeight="1" spans="1:15">
      <c r="A35" s="63"/>
      <c r="B35" s="26">
        <f t="shared" si="5"/>
        <v>0</v>
      </c>
      <c r="C35" s="61"/>
      <c r="D35" s="46"/>
      <c r="E35" s="47"/>
      <c r="F35" s="26">
        <f t="shared" ref="F35:F40" si="6">ROUND(G35/(1+E35)*E35,2)</f>
        <v>0</v>
      </c>
      <c r="G35" s="35"/>
      <c r="H35" s="51">
        <v>44190</v>
      </c>
      <c r="I35" s="88">
        <v>1900</v>
      </c>
      <c r="J35" s="87" t="s">
        <v>41</v>
      </c>
      <c r="K35" s="46" t="s">
        <v>75</v>
      </c>
      <c r="L35" s="80"/>
      <c r="M35" s="85"/>
      <c r="N35" s="85"/>
      <c r="O35" s="50"/>
    </row>
    <row r="36" s="7" customFormat="1" ht="18" customHeight="1" spans="1:15">
      <c r="A36" s="63"/>
      <c r="B36" s="26">
        <f t="shared" si="5"/>
        <v>0</v>
      </c>
      <c r="C36" s="61"/>
      <c r="D36" s="46"/>
      <c r="E36" s="47"/>
      <c r="F36" s="26">
        <f t="shared" si="6"/>
        <v>0</v>
      </c>
      <c r="G36" s="35"/>
      <c r="H36" s="51">
        <v>44190</v>
      </c>
      <c r="I36" s="88">
        <v>450</v>
      </c>
      <c r="J36" s="87" t="s">
        <v>41</v>
      </c>
      <c r="K36" s="46" t="s">
        <v>42</v>
      </c>
      <c r="L36" s="80"/>
      <c r="M36" s="85"/>
      <c r="N36" s="85"/>
      <c r="O36" s="50"/>
    </row>
    <row r="37" s="7" customFormat="1" ht="18" customHeight="1" spans="1:15">
      <c r="A37" s="63"/>
      <c r="B37" s="26">
        <f t="shared" si="5"/>
        <v>0</v>
      </c>
      <c r="C37" s="61"/>
      <c r="D37" s="46"/>
      <c r="E37" s="47"/>
      <c r="F37" s="26">
        <f t="shared" si="6"/>
        <v>0</v>
      </c>
      <c r="G37" s="35"/>
      <c r="H37" s="51">
        <v>44190</v>
      </c>
      <c r="I37" s="88">
        <v>20000</v>
      </c>
      <c r="J37" s="87" t="s">
        <v>41</v>
      </c>
      <c r="K37" s="46" t="s">
        <v>76</v>
      </c>
      <c r="L37" s="80"/>
      <c r="M37" s="85"/>
      <c r="N37" s="85"/>
      <c r="O37" s="50"/>
    </row>
    <row r="38" s="7" customFormat="1" ht="18" customHeight="1" spans="1:15">
      <c r="A38" s="63"/>
      <c r="B38" s="26">
        <f t="shared" si="5"/>
        <v>0</v>
      </c>
      <c r="C38" s="61"/>
      <c r="D38" s="46"/>
      <c r="E38" s="47"/>
      <c r="F38" s="26">
        <f t="shared" si="6"/>
        <v>0</v>
      </c>
      <c r="G38" s="35"/>
      <c r="H38" s="51">
        <v>44190</v>
      </c>
      <c r="I38" s="88">
        <v>382682</v>
      </c>
      <c r="J38" s="87" t="s">
        <v>77</v>
      </c>
      <c r="K38" s="46" t="s">
        <v>78</v>
      </c>
      <c r="L38" s="80"/>
      <c r="M38" s="85"/>
      <c r="N38" s="85"/>
      <c r="O38" s="50"/>
    </row>
    <row r="39" s="7" customFormat="1" ht="18" customHeight="1" spans="1:15">
      <c r="A39" s="63"/>
      <c r="B39" s="26">
        <f t="shared" si="5"/>
        <v>0</v>
      </c>
      <c r="C39" s="61"/>
      <c r="D39" s="46"/>
      <c r="E39" s="47"/>
      <c r="F39" s="26">
        <f t="shared" si="6"/>
        <v>0</v>
      </c>
      <c r="G39" s="35"/>
      <c r="H39" s="51">
        <v>44190</v>
      </c>
      <c r="I39" s="88">
        <v>42500</v>
      </c>
      <c r="J39" s="87" t="s">
        <v>41</v>
      </c>
      <c r="K39" s="46" t="s">
        <v>79</v>
      </c>
      <c r="L39" s="80"/>
      <c r="M39" s="85"/>
      <c r="N39" s="85"/>
      <c r="O39" s="50"/>
    </row>
    <row r="40" s="7" customFormat="1" ht="18" customHeight="1" spans="1:15">
      <c r="A40" s="63"/>
      <c r="B40" s="26">
        <f t="shared" si="5"/>
        <v>0</v>
      </c>
      <c r="C40" s="61"/>
      <c r="D40" s="46"/>
      <c r="E40" s="47"/>
      <c r="F40" s="26">
        <f t="shared" si="6"/>
        <v>0</v>
      </c>
      <c r="G40" s="35"/>
      <c r="H40" s="51">
        <v>44190</v>
      </c>
      <c r="I40" s="88">
        <v>2339</v>
      </c>
      <c r="J40" s="87" t="s">
        <v>41</v>
      </c>
      <c r="K40" s="46" t="s">
        <v>80</v>
      </c>
      <c r="L40" s="80"/>
      <c r="M40" s="85"/>
      <c r="N40" s="85"/>
      <c r="O40" s="50"/>
    </row>
    <row r="41" ht="18" customHeight="1" spans="1:15">
      <c r="A41" s="64" t="s">
        <v>21</v>
      </c>
      <c r="B41" s="42">
        <f>SUM(B14:B40)</f>
        <v>3076141.86</v>
      </c>
      <c r="C41" s="64"/>
      <c r="D41" s="65"/>
      <c r="E41" s="65"/>
      <c r="F41" s="66">
        <f>SUM(F14:F40)</f>
        <v>326829.14</v>
      </c>
      <c r="G41" s="67">
        <f>SUM(G14:G40)</f>
        <v>3402971</v>
      </c>
      <c r="H41" s="68"/>
      <c r="I41" s="90">
        <f>SUM(I14:I40)</f>
        <v>2582265</v>
      </c>
      <c r="J41" s="91" t="s">
        <v>41</v>
      </c>
      <c r="K41" s="92" t="s">
        <v>42</v>
      </c>
      <c r="L41" s="77"/>
      <c r="M41" s="77"/>
      <c r="N41" s="77"/>
      <c r="O41" s="93"/>
    </row>
    <row r="42" ht="18" customHeight="1" spans="1:14">
      <c r="A42" s="69" t="s">
        <v>43</v>
      </c>
      <c r="B42" s="70">
        <f>B11*0.96</f>
        <v>3743119.26605505</v>
      </c>
      <c r="C42" s="69"/>
      <c r="D42" s="71"/>
      <c r="E42" s="71"/>
      <c r="F42" s="70"/>
      <c r="G42" s="72">
        <f>G11-G41</f>
        <v>847029</v>
      </c>
      <c r="H42" s="30" t="s">
        <v>44</v>
      </c>
      <c r="I42" s="29">
        <f>I11-I41</f>
        <v>1547735</v>
      </c>
      <c r="J42" s="14"/>
      <c r="K42" s="94"/>
      <c r="M42" s="14"/>
      <c r="N42" s="14"/>
    </row>
    <row r="43" ht="18" customHeight="1" spans="1:14">
      <c r="A43" s="69" t="s">
        <v>45</v>
      </c>
      <c r="B43" s="70">
        <f>B42-B41</f>
        <v>666977.40605505</v>
      </c>
      <c r="C43" s="69"/>
      <c r="D43" s="71"/>
      <c r="E43" s="71"/>
      <c r="F43" s="70"/>
      <c r="G43" s="72"/>
      <c r="H43" s="73"/>
      <c r="I43" s="72"/>
      <c r="J43" s="14"/>
      <c r="K43" s="94"/>
      <c r="M43" s="14"/>
      <c r="N43" s="14"/>
    </row>
    <row r="44" ht="18" customHeight="1" spans="1:3">
      <c r="A44" s="9" t="s">
        <v>46</v>
      </c>
      <c r="C44" s="9"/>
    </row>
    <row r="45" ht="18" customHeight="1" spans="1:8">
      <c r="A45" s="30" t="s">
        <v>47</v>
      </c>
      <c r="B45" s="29" t="s">
        <v>48</v>
      </c>
      <c r="C45" s="93"/>
      <c r="D45" s="30" t="s">
        <v>47</v>
      </c>
      <c r="E45" s="28" t="s">
        <v>16</v>
      </c>
      <c r="F45" s="67" t="s">
        <v>48</v>
      </c>
      <c r="G45" s="24" t="s">
        <v>81</v>
      </c>
      <c r="H45" s="20" t="s">
        <v>91</v>
      </c>
    </row>
    <row r="46" ht="18" customHeight="1" spans="1:8">
      <c r="A46" s="93" t="s">
        <v>49</v>
      </c>
      <c r="B46" s="26">
        <f>(B42-B41)*0.25</f>
        <v>166744.351513762</v>
      </c>
      <c r="C46" s="93"/>
      <c r="D46" s="41" t="s">
        <v>50</v>
      </c>
      <c r="E46" s="30" t="s">
        <v>51</v>
      </c>
      <c r="F46" s="95">
        <f>F11-F41</f>
        <v>-53893.360183486</v>
      </c>
      <c r="G46" s="96">
        <f>F7-F20</f>
        <v>-14674.8401834862</v>
      </c>
      <c r="H46" s="20"/>
    </row>
    <row r="47" ht="18" customHeight="1" spans="1:8">
      <c r="A47" s="93" t="s">
        <v>52</v>
      </c>
      <c r="B47" s="97"/>
      <c r="C47" s="93"/>
      <c r="D47" s="98" t="s">
        <v>53</v>
      </c>
      <c r="E47" s="22">
        <v>0.07</v>
      </c>
      <c r="F47" s="99">
        <f>F46*E47</f>
        <v>-3772.53521284402</v>
      </c>
      <c r="G47" s="96">
        <f>G46*E47</f>
        <v>-1027.23881284404</v>
      </c>
      <c r="H47" s="20"/>
    </row>
    <row r="48" ht="18" customHeight="1" spans="1:8">
      <c r="A48" s="93" t="s">
        <v>54</v>
      </c>
      <c r="B48" s="97"/>
      <c r="C48" s="93"/>
      <c r="D48" s="98" t="s">
        <v>55</v>
      </c>
      <c r="E48" s="22">
        <v>0.03</v>
      </c>
      <c r="F48" s="99">
        <f>F46*E48</f>
        <v>-1616.80080550458</v>
      </c>
      <c r="G48" s="96">
        <f>G46*E48</f>
        <v>-440.245205504587</v>
      </c>
      <c r="H48" s="20"/>
    </row>
    <row r="49" ht="18" customHeight="1" spans="1:10">
      <c r="A49" s="93"/>
      <c r="B49" s="37"/>
      <c r="C49" s="93"/>
      <c r="D49" s="98" t="s">
        <v>56</v>
      </c>
      <c r="E49" s="22">
        <v>0.02</v>
      </c>
      <c r="F49" s="99">
        <f>F46*E49</f>
        <v>-1077.86720366972</v>
      </c>
      <c r="G49" s="96">
        <f>G46*E49</f>
        <v>-293.496803669725</v>
      </c>
      <c r="H49" s="20"/>
      <c r="J49" s="13" t="s">
        <v>82</v>
      </c>
    </row>
    <row r="50" ht="18" customHeight="1" spans="1:8">
      <c r="A50" s="41" t="s">
        <v>57</v>
      </c>
      <c r="B50" s="42">
        <f>SUM(B46:B49)</f>
        <v>166744.351513762</v>
      </c>
      <c r="C50" s="93"/>
      <c r="D50" s="43" t="s">
        <v>57</v>
      </c>
      <c r="E50" s="41"/>
      <c r="F50" s="95">
        <f>SUM(F46:F49)</f>
        <v>-60360.5634055043</v>
      </c>
      <c r="G50" s="96">
        <v>0</v>
      </c>
      <c r="H50" s="20"/>
    </row>
    <row r="51" ht="18" customHeight="1" spans="3:8">
      <c r="C51" s="9"/>
      <c r="D51" s="20" t="s">
        <v>52</v>
      </c>
      <c r="E51" s="100">
        <v>0.0003</v>
      </c>
      <c r="F51" s="99">
        <f>G11*E51</f>
        <v>1275</v>
      </c>
      <c r="G51" s="96">
        <v>0</v>
      </c>
      <c r="H51" s="20"/>
    </row>
    <row r="52" ht="18" customHeight="1" spans="3:8">
      <c r="C52" s="9"/>
      <c r="D52" s="20" t="s">
        <v>54</v>
      </c>
      <c r="E52" s="100">
        <v>0.0006</v>
      </c>
      <c r="F52" s="99">
        <f>B11*E52</f>
        <v>2339.4495412844</v>
      </c>
      <c r="G52" s="96">
        <f>E52*B7</f>
        <v>2339.4495412844</v>
      </c>
      <c r="H52" s="20"/>
    </row>
    <row r="53" ht="18" customHeight="1" spans="3:8">
      <c r="C53" s="9"/>
      <c r="D53" s="101" t="s">
        <v>57</v>
      </c>
      <c r="E53" s="102"/>
      <c r="F53" s="103">
        <f>F52+F51</f>
        <v>3614.4495412844</v>
      </c>
      <c r="G53" s="104">
        <f>G50+G51+G52</f>
        <v>2339.4495412844</v>
      </c>
      <c r="H53" s="20"/>
    </row>
    <row r="54" ht="18" customHeight="1" spans="3:8">
      <c r="C54" s="9"/>
      <c r="D54" s="28" t="s">
        <v>21</v>
      </c>
      <c r="E54" s="64"/>
      <c r="F54" s="105">
        <f>F50+F53</f>
        <v>-56746.1138642199</v>
      </c>
      <c r="G54" s="96"/>
      <c r="H54" s="20"/>
    </row>
    <row r="55" ht="18" customHeight="1" spans="3:8">
      <c r="C55" s="9"/>
      <c r="D55" s="106" t="s">
        <v>83</v>
      </c>
      <c r="E55" s="102">
        <v>0.01</v>
      </c>
      <c r="F55" s="103"/>
      <c r="G55" s="104">
        <f>E55*G7</f>
        <v>42500</v>
      </c>
      <c r="H55" s="20"/>
    </row>
    <row r="56" ht="18" customHeight="1" spans="3:8">
      <c r="C56" s="9"/>
      <c r="D56" s="107" t="s">
        <v>84</v>
      </c>
      <c r="E56" s="107"/>
      <c r="F56" s="108"/>
      <c r="G56" s="104">
        <f>1530729.89*0.25</f>
        <v>382682.4725</v>
      </c>
      <c r="H56" s="109">
        <f>I38-B43*0.25</f>
        <v>215937.648486238</v>
      </c>
    </row>
    <row r="57" ht="18" customHeight="1" spans="3:3">
      <c r="C57" s="9"/>
    </row>
    <row r="58" ht="18" customHeight="1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  <row r="74" spans="3:3">
      <c r="C74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opLeftCell="A38" workbookViewId="0">
      <selection activeCell="M48" sqref="M48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2.8833333333333" style="10" customWidth="1"/>
    <col min="7" max="7" width="14.1333333333333" style="12" customWidth="1"/>
    <col min="8" max="8" width="12.5583333333333" style="11" customWidth="1"/>
    <col min="9" max="9" width="13.8833333333333" style="12" customWidth="1"/>
    <col min="10" max="10" width="6.13333333333333" style="13" customWidth="1"/>
    <col min="11" max="11" width="31.5" style="14" customWidth="1"/>
    <col min="12" max="12" width="12.75" style="14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58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31" customHeight="1" spans="1:12">
      <c r="A2" s="18" t="s">
        <v>1</v>
      </c>
      <c r="B2" s="19">
        <v>44044</v>
      </c>
      <c r="C2" s="20" t="s">
        <v>2</v>
      </c>
      <c r="D2" s="21">
        <v>6016197</v>
      </c>
      <c r="E2" s="22" t="s">
        <v>3</v>
      </c>
      <c r="F2" s="23" t="s">
        <v>59</v>
      </c>
      <c r="G2" s="24" t="s">
        <v>5</v>
      </c>
      <c r="H2" s="25" t="s">
        <v>6</v>
      </c>
      <c r="I2" s="74"/>
      <c r="J2" s="75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1" t="s">
        <v>60</v>
      </c>
      <c r="B7" s="26">
        <f t="shared" ref="B7:B10" si="0">G7/(1+C7+E7)</f>
        <v>3899082.56880734</v>
      </c>
      <c r="C7" s="32">
        <v>0.02</v>
      </c>
      <c r="D7" s="33">
        <f t="shared" ref="D7:D10" si="1">G7/(1+E7+C7)*C7</f>
        <v>77981.6513761468</v>
      </c>
      <c r="E7" s="34">
        <v>0.07</v>
      </c>
      <c r="F7" s="26">
        <f t="shared" ref="F7:F10" si="2">G7/(1+C7+E7)*E7</f>
        <v>272935.779816514</v>
      </c>
      <c r="G7" s="35">
        <v>4250000</v>
      </c>
      <c r="H7" s="36">
        <v>44181</v>
      </c>
      <c r="I7" s="24">
        <v>2624000</v>
      </c>
      <c r="J7" s="77" t="s">
        <v>38</v>
      </c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35"/>
      <c r="H8" s="36">
        <v>44181</v>
      </c>
      <c r="I8" s="24">
        <v>656000</v>
      </c>
      <c r="J8" s="77" t="s">
        <v>66</v>
      </c>
    </row>
    <row r="9" ht="18" customHeight="1" spans="1:10">
      <c r="A9" s="36"/>
      <c r="B9" s="37">
        <f t="shared" si="0"/>
        <v>0</v>
      </c>
      <c r="C9" s="38">
        <v>0.02</v>
      </c>
      <c r="D9" s="39">
        <f t="shared" si="1"/>
        <v>0</v>
      </c>
      <c r="E9" s="40">
        <v>0.07</v>
      </c>
      <c r="F9" s="37">
        <f t="shared" si="2"/>
        <v>0</v>
      </c>
      <c r="G9" s="35"/>
      <c r="H9" s="36">
        <v>44194</v>
      </c>
      <c r="I9" s="24">
        <v>680000</v>
      </c>
      <c r="J9" s="77" t="s">
        <v>38</v>
      </c>
    </row>
    <row r="10" ht="18" customHeight="1" spans="1:10">
      <c r="A10" s="36"/>
      <c r="B10" s="37">
        <f t="shared" si="0"/>
        <v>0</v>
      </c>
      <c r="C10" s="38">
        <v>0.02</v>
      </c>
      <c r="D10" s="39">
        <f t="shared" si="1"/>
        <v>0</v>
      </c>
      <c r="E10" s="40">
        <v>0.07</v>
      </c>
      <c r="F10" s="37">
        <f t="shared" si="2"/>
        <v>0</v>
      </c>
      <c r="G10" s="35"/>
      <c r="H10" s="36">
        <v>44194</v>
      </c>
      <c r="I10" s="24">
        <v>170000</v>
      </c>
      <c r="J10" s="77" t="s">
        <v>66</v>
      </c>
    </row>
    <row r="11" ht="18" customHeight="1" spans="1:10">
      <c r="A11" s="41" t="s">
        <v>21</v>
      </c>
      <c r="B11" s="42">
        <f t="shared" ref="B11:G11" si="3">SUM(B7:B10)</f>
        <v>3899082.56880734</v>
      </c>
      <c r="C11" s="64"/>
      <c r="D11" s="110">
        <f t="shared" si="3"/>
        <v>77981.6513761468</v>
      </c>
      <c r="E11" s="64"/>
      <c r="F11" s="66">
        <f t="shared" si="3"/>
        <v>272935.779816514</v>
      </c>
      <c r="G11" s="29">
        <f t="shared" si="3"/>
        <v>4250000</v>
      </c>
      <c r="H11" s="93"/>
      <c r="I11" s="29">
        <f>SUM(I7:I10)</f>
        <v>4130000</v>
      </c>
      <c r="J11" s="77"/>
    </row>
    <row r="12" ht="18" customHeight="1" spans="1:12">
      <c r="A12" s="9" t="s">
        <v>22</v>
      </c>
      <c r="J12" s="78"/>
      <c r="K12" s="78"/>
      <c r="L12" s="13"/>
    </row>
    <row r="13" ht="18" customHeight="1" spans="1:15">
      <c r="A13" s="43" t="s">
        <v>23</v>
      </c>
      <c r="B13" s="29" t="s">
        <v>24</v>
      </c>
      <c r="C13" s="28" t="s">
        <v>25</v>
      </c>
      <c r="D13" s="28" t="s">
        <v>26</v>
      </c>
      <c r="E13" s="28" t="s">
        <v>16</v>
      </c>
      <c r="F13" s="29" t="s">
        <v>27</v>
      </c>
      <c r="G13" s="29" t="s">
        <v>14</v>
      </c>
      <c r="H13" s="28" t="s">
        <v>28</v>
      </c>
      <c r="I13" s="29" t="s">
        <v>29</v>
      </c>
      <c r="J13" s="28" t="s">
        <v>20</v>
      </c>
      <c r="K13" s="79" t="s">
        <v>30</v>
      </c>
      <c r="L13" s="30" t="s">
        <v>31</v>
      </c>
      <c r="M13" s="30" t="s">
        <v>32</v>
      </c>
      <c r="N13" s="30" t="s">
        <v>33</v>
      </c>
      <c r="O13" s="30" t="s">
        <v>34</v>
      </c>
    </row>
    <row r="14" s="7" customFormat="1" ht="18" customHeight="1" spans="1:15">
      <c r="A14" s="44"/>
      <c r="B14" s="33"/>
      <c r="C14" s="45"/>
      <c r="D14" s="46"/>
      <c r="E14" s="47"/>
      <c r="F14" s="33"/>
      <c r="G14" s="48"/>
      <c r="H14" s="49">
        <v>44160</v>
      </c>
      <c r="I14" s="48">
        <v>-1000000</v>
      </c>
      <c r="J14" s="80" t="s">
        <v>35</v>
      </c>
      <c r="K14" s="81" t="s">
        <v>61</v>
      </c>
      <c r="L14" s="81" t="s">
        <v>67</v>
      </c>
      <c r="M14" s="80"/>
      <c r="N14" s="80"/>
      <c r="O14" s="50"/>
    </row>
    <row r="15" s="7" customFormat="1" ht="18" customHeight="1" spans="1:15">
      <c r="A15" s="50"/>
      <c r="B15" s="50"/>
      <c r="C15" s="50"/>
      <c r="D15" s="50"/>
      <c r="E15" s="50"/>
      <c r="F15" s="50"/>
      <c r="G15" s="50"/>
      <c r="H15" s="49">
        <v>44160</v>
      </c>
      <c r="I15" s="48">
        <v>1000000</v>
      </c>
      <c r="J15" s="80" t="s">
        <v>38</v>
      </c>
      <c r="K15" s="46" t="s">
        <v>62</v>
      </c>
      <c r="L15" s="80" t="s">
        <v>63</v>
      </c>
      <c r="M15" s="80"/>
      <c r="N15" s="80"/>
      <c r="O15" s="50"/>
    </row>
    <row r="16" s="7" customFormat="1" ht="18" customHeight="1" spans="1:15">
      <c r="A16" s="44"/>
      <c r="B16" s="33"/>
      <c r="C16" s="45"/>
      <c r="D16" s="46"/>
      <c r="E16" s="47"/>
      <c r="F16" s="33"/>
      <c r="G16" s="48"/>
      <c r="H16" s="51">
        <v>44161</v>
      </c>
      <c r="I16" s="88">
        <v>-800000</v>
      </c>
      <c r="J16" s="80" t="s">
        <v>35</v>
      </c>
      <c r="K16" s="46" t="s">
        <v>64</v>
      </c>
      <c r="L16" s="80" t="s">
        <v>37</v>
      </c>
      <c r="M16" s="80"/>
      <c r="N16" s="80"/>
      <c r="O16" s="50"/>
    </row>
    <row r="17" s="7" customFormat="1" ht="18" customHeight="1" spans="1:15">
      <c r="A17" s="52"/>
      <c r="B17" s="33"/>
      <c r="C17" s="45"/>
      <c r="D17" s="46"/>
      <c r="E17" s="47"/>
      <c r="F17" s="33"/>
      <c r="G17" s="48"/>
      <c r="H17" s="51">
        <v>44161</v>
      </c>
      <c r="I17" s="88">
        <v>800000</v>
      </c>
      <c r="J17" s="80" t="s">
        <v>38</v>
      </c>
      <c r="K17" s="46" t="s">
        <v>62</v>
      </c>
      <c r="L17" s="80" t="s">
        <v>63</v>
      </c>
      <c r="M17" s="80"/>
      <c r="N17" s="80"/>
      <c r="O17" s="50"/>
    </row>
    <row r="18" s="7" customFormat="1" ht="18" customHeight="1" spans="1:15">
      <c r="A18" s="44"/>
      <c r="B18" s="33"/>
      <c r="C18" s="45"/>
      <c r="D18" s="46"/>
      <c r="E18" s="53"/>
      <c r="F18" s="33"/>
      <c r="G18" s="48"/>
      <c r="H18" s="51">
        <v>44165</v>
      </c>
      <c r="I18" s="88">
        <v>-700000</v>
      </c>
      <c r="J18" s="80" t="s">
        <v>35</v>
      </c>
      <c r="K18" s="46" t="s">
        <v>64</v>
      </c>
      <c r="L18" s="80" t="s">
        <v>37</v>
      </c>
      <c r="M18" s="80"/>
      <c r="N18" s="80"/>
      <c r="O18" s="50"/>
    </row>
    <row r="19" s="7" customFormat="1" ht="18" customHeight="1" spans="1:15">
      <c r="A19" s="44"/>
      <c r="B19" s="33"/>
      <c r="C19" s="45"/>
      <c r="D19" s="46"/>
      <c r="E19" s="47"/>
      <c r="F19" s="33"/>
      <c r="G19" s="48"/>
      <c r="H19" s="51">
        <v>44165</v>
      </c>
      <c r="I19" s="88">
        <v>700000</v>
      </c>
      <c r="J19" s="80" t="s">
        <v>38</v>
      </c>
      <c r="K19" s="46" t="s">
        <v>62</v>
      </c>
      <c r="L19" s="80" t="s">
        <v>63</v>
      </c>
      <c r="M19" s="80"/>
      <c r="N19" s="80"/>
      <c r="O19" s="50"/>
    </row>
    <row r="20" s="7" customFormat="1" ht="18" customHeight="1" spans="1:15">
      <c r="A20" s="44">
        <v>44166</v>
      </c>
      <c r="B20" s="26">
        <f t="shared" ref="B20:B27" si="4">ROUND(G20/(1+E20),2)</f>
        <v>2212389.38</v>
      </c>
      <c r="C20" s="61">
        <v>23</v>
      </c>
      <c r="D20" s="46" t="s">
        <v>68</v>
      </c>
      <c r="E20" s="53">
        <v>0.13</v>
      </c>
      <c r="F20" s="26">
        <f t="shared" ref="F20:F33" si="5">ROUND(G20/(1+E20)*E20,2)</f>
        <v>287610.62</v>
      </c>
      <c r="G20" s="35">
        <v>2500000</v>
      </c>
      <c r="H20" s="51"/>
      <c r="I20" s="88"/>
      <c r="J20" s="87"/>
      <c r="K20" s="46" t="s">
        <v>62</v>
      </c>
      <c r="L20" s="80" t="s">
        <v>63</v>
      </c>
      <c r="M20" s="85"/>
      <c r="N20" s="85"/>
      <c r="O20" s="50"/>
    </row>
    <row r="21" s="7" customFormat="1" ht="18" customHeight="1" spans="1:15">
      <c r="A21" s="44"/>
      <c r="B21" s="26">
        <f t="shared" si="4"/>
        <v>0</v>
      </c>
      <c r="C21" s="61"/>
      <c r="D21" s="46"/>
      <c r="E21" s="53"/>
      <c r="F21" s="26">
        <f t="shared" si="5"/>
        <v>0</v>
      </c>
      <c r="G21" s="35"/>
      <c r="H21" s="49">
        <v>44190</v>
      </c>
      <c r="I21" s="48">
        <v>1000000</v>
      </c>
      <c r="J21" s="80" t="s">
        <v>35</v>
      </c>
      <c r="K21" s="81" t="s">
        <v>69</v>
      </c>
      <c r="L21" s="80" t="s">
        <v>70</v>
      </c>
      <c r="M21" s="85"/>
      <c r="N21" s="85"/>
      <c r="O21" s="50"/>
    </row>
    <row r="22" s="7" customFormat="1" ht="18" customHeight="1" spans="1:15">
      <c r="A22" s="44"/>
      <c r="B22" s="26">
        <f t="shared" si="4"/>
        <v>0</v>
      </c>
      <c r="C22" s="61"/>
      <c r="D22" s="46"/>
      <c r="E22" s="53"/>
      <c r="F22" s="26">
        <f t="shared" si="5"/>
        <v>0</v>
      </c>
      <c r="G22" s="35"/>
      <c r="H22" s="49">
        <v>44190</v>
      </c>
      <c r="I22" s="86">
        <v>700000</v>
      </c>
      <c r="J22" s="80" t="s">
        <v>35</v>
      </c>
      <c r="K22" s="46" t="s">
        <v>71</v>
      </c>
      <c r="L22" s="80" t="s">
        <v>37</v>
      </c>
      <c r="M22" s="85"/>
      <c r="N22" s="85"/>
      <c r="O22" s="50"/>
    </row>
    <row r="23" s="7" customFormat="1" ht="18" customHeight="1" spans="1:15">
      <c r="A23" s="44">
        <v>44166</v>
      </c>
      <c r="B23" s="26">
        <f t="shared" si="4"/>
        <v>608910.89</v>
      </c>
      <c r="C23" s="61">
        <v>7</v>
      </c>
      <c r="D23" s="46" t="s">
        <v>68</v>
      </c>
      <c r="E23" s="53">
        <v>0.01</v>
      </c>
      <c r="F23" s="26">
        <f t="shared" si="5"/>
        <v>6089.11</v>
      </c>
      <c r="G23" s="35">
        <v>615000</v>
      </c>
      <c r="H23" s="49">
        <v>44190</v>
      </c>
      <c r="I23" s="48">
        <v>390000</v>
      </c>
      <c r="J23" s="80" t="s">
        <v>38</v>
      </c>
      <c r="K23" s="46" t="s">
        <v>72</v>
      </c>
      <c r="L23" s="80" t="s">
        <v>73</v>
      </c>
      <c r="M23" s="85"/>
      <c r="N23" s="85"/>
      <c r="O23" s="50"/>
    </row>
    <row r="24" s="7" customFormat="1" ht="18" customHeight="1" spans="1:15">
      <c r="A24" s="44">
        <v>44166</v>
      </c>
      <c r="B24" s="26">
        <f t="shared" si="4"/>
        <v>254841.59</v>
      </c>
      <c r="C24" s="61">
        <v>3</v>
      </c>
      <c r="D24" s="46" t="s">
        <v>68</v>
      </c>
      <c r="E24" s="53">
        <v>0.13</v>
      </c>
      <c r="F24" s="26">
        <f t="shared" si="5"/>
        <v>33129.41</v>
      </c>
      <c r="G24" s="35">
        <v>287971</v>
      </c>
      <c r="H24" s="51"/>
      <c r="I24" s="88"/>
      <c r="J24" s="87"/>
      <c r="K24" s="46" t="s">
        <v>62</v>
      </c>
      <c r="L24" s="80" t="s">
        <v>63</v>
      </c>
      <c r="M24" s="85"/>
      <c r="N24" s="85"/>
      <c r="O24" s="50"/>
    </row>
    <row r="25" s="7" customFormat="1" ht="18" customHeight="1" spans="1:15">
      <c r="A25" s="44"/>
      <c r="B25" s="26">
        <f t="shared" si="4"/>
        <v>0</v>
      </c>
      <c r="C25" s="61"/>
      <c r="D25" s="46"/>
      <c r="E25" s="53"/>
      <c r="F25" s="26">
        <f t="shared" si="5"/>
        <v>0</v>
      </c>
      <c r="G25" s="35"/>
      <c r="H25" s="51" t="s">
        <v>85</v>
      </c>
      <c r="I25" s="88">
        <v>287971</v>
      </c>
      <c r="J25" s="80" t="s">
        <v>38</v>
      </c>
      <c r="K25" s="46" t="s">
        <v>62</v>
      </c>
      <c r="L25" s="80" t="s">
        <v>63</v>
      </c>
      <c r="M25" s="80"/>
      <c r="N25" s="85"/>
      <c r="O25" s="50"/>
    </row>
    <row r="26" s="7" customFormat="1" ht="18" customHeight="1" spans="1:15">
      <c r="A26" s="44">
        <v>43831</v>
      </c>
      <c r="B26" s="26">
        <f t="shared" si="4"/>
        <v>1262376.24</v>
      </c>
      <c r="C26" s="61">
        <v>13</v>
      </c>
      <c r="D26" s="46" t="s">
        <v>68</v>
      </c>
      <c r="E26" s="53">
        <v>0.01</v>
      </c>
      <c r="F26" s="26">
        <f t="shared" si="5"/>
        <v>12623.76</v>
      </c>
      <c r="G26" s="35">
        <v>1275000</v>
      </c>
      <c r="H26" s="51"/>
      <c r="I26" s="88"/>
      <c r="J26" s="87"/>
      <c r="K26" s="46" t="s">
        <v>92</v>
      </c>
      <c r="L26" s="80" t="s">
        <v>93</v>
      </c>
      <c r="M26" s="80"/>
      <c r="N26" s="85"/>
      <c r="O26" s="50"/>
    </row>
    <row r="27" s="7" customFormat="1" ht="18" customHeight="1" spans="1:15">
      <c r="A27" s="44">
        <v>43831</v>
      </c>
      <c r="B27" s="26">
        <f t="shared" si="4"/>
        <v>118811.88</v>
      </c>
      <c r="C27" s="61">
        <v>2</v>
      </c>
      <c r="D27" s="46" t="s">
        <v>68</v>
      </c>
      <c r="E27" s="53">
        <v>0.01</v>
      </c>
      <c r="F27" s="26">
        <f t="shared" si="5"/>
        <v>1188.12</v>
      </c>
      <c r="G27" s="35">
        <v>120000</v>
      </c>
      <c r="H27" s="51"/>
      <c r="I27" s="88"/>
      <c r="J27" s="87"/>
      <c r="K27" s="46" t="s">
        <v>94</v>
      </c>
      <c r="L27" s="80" t="s">
        <v>95</v>
      </c>
      <c r="M27" s="80"/>
      <c r="N27" s="85"/>
      <c r="O27" s="50"/>
    </row>
    <row r="28" s="7" customFormat="1" ht="18" customHeight="1" spans="1:15">
      <c r="A28" s="44">
        <v>43831</v>
      </c>
      <c r="B28" s="26">
        <f t="shared" ref="B25:B33" si="6">ROUND(G28/(1+E28),2)</f>
        <v>59405.94</v>
      </c>
      <c r="C28" s="61">
        <v>1</v>
      </c>
      <c r="D28" s="46" t="s">
        <v>68</v>
      </c>
      <c r="E28" s="53">
        <v>0.01</v>
      </c>
      <c r="F28" s="26">
        <f t="shared" si="5"/>
        <v>594.06</v>
      </c>
      <c r="G28" s="35">
        <v>60000</v>
      </c>
      <c r="H28" s="51"/>
      <c r="I28" s="88"/>
      <c r="J28" s="87"/>
      <c r="K28" s="46" t="s">
        <v>94</v>
      </c>
      <c r="L28" s="80" t="s">
        <v>96</v>
      </c>
      <c r="M28" s="80"/>
      <c r="N28" s="85"/>
      <c r="O28" s="50"/>
    </row>
    <row r="29" s="7" customFormat="1" ht="18" customHeight="1" spans="1:15">
      <c r="A29" s="44">
        <v>43831</v>
      </c>
      <c r="B29" s="26">
        <f t="shared" si="6"/>
        <v>59405.94</v>
      </c>
      <c r="C29" s="61">
        <v>1</v>
      </c>
      <c r="D29" s="46" t="s">
        <v>68</v>
      </c>
      <c r="E29" s="53">
        <v>0.01</v>
      </c>
      <c r="F29" s="26">
        <f t="shared" si="5"/>
        <v>594.06</v>
      </c>
      <c r="G29" s="35">
        <v>60000</v>
      </c>
      <c r="H29" s="51"/>
      <c r="I29" s="88"/>
      <c r="J29" s="87"/>
      <c r="K29" s="46" t="s">
        <v>94</v>
      </c>
      <c r="L29" s="80" t="s">
        <v>97</v>
      </c>
      <c r="M29" s="80"/>
      <c r="N29" s="85"/>
      <c r="O29" s="50"/>
    </row>
    <row r="30" s="7" customFormat="1" ht="18" customHeight="1" spans="1:15">
      <c r="A30" s="44">
        <v>43831</v>
      </c>
      <c r="B30" s="26">
        <f t="shared" si="6"/>
        <v>346534.65</v>
      </c>
      <c r="C30" s="61">
        <v>4</v>
      </c>
      <c r="D30" s="46" t="s">
        <v>68</v>
      </c>
      <c r="E30" s="53">
        <v>0.01</v>
      </c>
      <c r="F30" s="26">
        <f t="shared" si="5"/>
        <v>3465.35</v>
      </c>
      <c r="G30" s="35">
        <v>350000</v>
      </c>
      <c r="H30" s="51"/>
      <c r="I30" s="88"/>
      <c r="J30" s="87"/>
      <c r="K30" s="46" t="s">
        <v>94</v>
      </c>
      <c r="L30" s="80" t="s">
        <v>98</v>
      </c>
      <c r="M30" s="80"/>
      <c r="N30" s="85"/>
      <c r="O30" s="50"/>
    </row>
    <row r="31" s="7" customFormat="1" ht="18" customHeight="1" spans="1:15">
      <c r="A31" s="44"/>
      <c r="B31" s="26">
        <f t="shared" si="6"/>
        <v>0</v>
      </c>
      <c r="C31" s="61"/>
      <c r="D31" s="46"/>
      <c r="E31" s="53"/>
      <c r="F31" s="26">
        <f t="shared" si="5"/>
        <v>0</v>
      </c>
      <c r="G31" s="35"/>
      <c r="H31" s="60">
        <v>44214</v>
      </c>
      <c r="I31" s="111">
        <v>327648</v>
      </c>
      <c r="J31" s="82" t="s">
        <v>38</v>
      </c>
      <c r="K31" s="57" t="s">
        <v>92</v>
      </c>
      <c r="L31" s="83"/>
      <c r="M31" s="80"/>
      <c r="N31" s="85"/>
      <c r="O31" s="50"/>
    </row>
    <row r="32" s="7" customFormat="1" ht="18" customHeight="1" spans="1:15">
      <c r="A32" s="44"/>
      <c r="B32" s="26">
        <f t="shared" si="6"/>
        <v>0</v>
      </c>
      <c r="C32" s="61"/>
      <c r="D32" s="46"/>
      <c r="E32" s="53"/>
      <c r="F32" s="26">
        <f t="shared" si="5"/>
        <v>0</v>
      </c>
      <c r="G32" s="35"/>
      <c r="H32" s="60">
        <v>44214</v>
      </c>
      <c r="I32" s="111">
        <v>656000</v>
      </c>
      <c r="J32" s="82" t="s">
        <v>66</v>
      </c>
      <c r="K32" s="57" t="s">
        <v>99</v>
      </c>
      <c r="L32" s="83"/>
      <c r="M32" s="80"/>
      <c r="N32" s="85"/>
      <c r="O32" s="50"/>
    </row>
    <row r="33" s="7" customFormat="1" ht="18" customHeight="1" spans="1:15">
      <c r="A33" s="44"/>
      <c r="B33" s="26">
        <f t="shared" si="6"/>
        <v>0</v>
      </c>
      <c r="C33" s="61"/>
      <c r="D33" s="46"/>
      <c r="E33" s="53"/>
      <c r="F33" s="26">
        <f t="shared" si="5"/>
        <v>0</v>
      </c>
      <c r="G33" s="35"/>
      <c r="H33" s="51"/>
      <c r="I33" s="88"/>
      <c r="J33" s="87"/>
      <c r="K33" s="46"/>
      <c r="L33" s="80"/>
      <c r="M33" s="80"/>
      <c r="N33" s="85"/>
      <c r="O33" s="50"/>
    </row>
    <row r="34" s="7" customFormat="1" ht="18" customHeight="1" spans="1:15">
      <c r="A34" s="44"/>
      <c r="B34" s="26"/>
      <c r="C34" s="61"/>
      <c r="D34" s="46"/>
      <c r="E34" s="53"/>
      <c r="F34" s="26"/>
      <c r="G34" s="35"/>
      <c r="H34" s="51"/>
      <c r="I34" s="88"/>
      <c r="J34" s="87"/>
      <c r="K34" s="46"/>
      <c r="L34" s="80"/>
      <c r="M34" s="80"/>
      <c r="N34" s="85"/>
      <c r="O34" s="50"/>
    </row>
    <row r="35" s="7" customFormat="1" ht="18" customHeight="1" spans="1:15">
      <c r="A35" s="44"/>
      <c r="B35" s="26"/>
      <c r="C35" s="61"/>
      <c r="D35" s="46"/>
      <c r="E35" s="53"/>
      <c r="F35" s="26"/>
      <c r="G35" s="35"/>
      <c r="H35" s="51"/>
      <c r="I35" s="88"/>
      <c r="J35" s="87"/>
      <c r="K35" s="46"/>
      <c r="L35" s="80"/>
      <c r="M35" s="80"/>
      <c r="N35" s="85"/>
      <c r="O35" s="50"/>
    </row>
    <row r="36" s="7" customFormat="1" ht="18" customHeight="1" spans="1:15">
      <c r="A36" s="44"/>
      <c r="B36" s="26"/>
      <c r="C36" s="61"/>
      <c r="D36" s="46"/>
      <c r="E36" s="53"/>
      <c r="F36" s="26"/>
      <c r="G36" s="35"/>
      <c r="H36" s="51"/>
      <c r="I36" s="88"/>
      <c r="J36" s="87"/>
      <c r="K36" s="46"/>
      <c r="L36" s="80"/>
      <c r="M36" s="80"/>
      <c r="N36" s="85"/>
      <c r="O36" s="50"/>
    </row>
    <row r="37" s="7" customFormat="1" ht="18" customHeight="1" spans="1:15">
      <c r="A37" s="44"/>
      <c r="B37" s="26"/>
      <c r="C37" s="61"/>
      <c r="D37" s="46"/>
      <c r="E37" s="53"/>
      <c r="F37" s="26"/>
      <c r="G37" s="35"/>
      <c r="H37" s="51"/>
      <c r="I37" s="88"/>
      <c r="J37" s="87"/>
      <c r="K37" s="46"/>
      <c r="L37" s="80"/>
      <c r="M37" s="80"/>
      <c r="N37" s="85"/>
      <c r="O37" s="50"/>
    </row>
    <row r="38" s="7" customFormat="1" ht="18" customHeight="1" spans="1:15">
      <c r="A38" s="44"/>
      <c r="B38" s="26"/>
      <c r="C38" s="61"/>
      <c r="D38" s="46"/>
      <c r="E38" s="53"/>
      <c r="F38" s="26"/>
      <c r="G38" s="35"/>
      <c r="H38" s="51"/>
      <c r="I38" s="88"/>
      <c r="J38" s="87"/>
      <c r="K38" s="46"/>
      <c r="L38" s="80"/>
      <c r="M38" s="80"/>
      <c r="N38" s="85"/>
      <c r="O38" s="50"/>
    </row>
    <row r="39" s="7" customFormat="1" ht="18" customHeight="1" spans="1:15">
      <c r="A39" s="44"/>
      <c r="B39" s="26"/>
      <c r="C39" s="61"/>
      <c r="D39" s="46"/>
      <c r="E39" s="53"/>
      <c r="F39" s="26"/>
      <c r="G39" s="35"/>
      <c r="H39" s="51"/>
      <c r="I39" s="88"/>
      <c r="J39" s="87"/>
      <c r="K39" s="46"/>
      <c r="L39" s="80"/>
      <c r="M39" s="80"/>
      <c r="N39" s="85"/>
      <c r="O39" s="50"/>
    </row>
    <row r="40" s="7" customFormat="1" ht="18" customHeight="1" spans="1:15">
      <c r="A40" s="44"/>
      <c r="B40" s="26"/>
      <c r="C40" s="61"/>
      <c r="D40" s="46"/>
      <c r="E40" s="53"/>
      <c r="F40" s="26"/>
      <c r="G40" s="35"/>
      <c r="H40" s="51"/>
      <c r="I40" s="88"/>
      <c r="J40" s="87"/>
      <c r="K40" s="46"/>
      <c r="L40" s="80"/>
      <c r="M40" s="80"/>
      <c r="N40" s="85"/>
      <c r="O40" s="50"/>
    </row>
    <row r="41" s="7" customFormat="1" ht="18" customHeight="1" spans="1:15">
      <c r="A41" s="44"/>
      <c r="B41" s="26"/>
      <c r="C41" s="61"/>
      <c r="D41" s="46"/>
      <c r="E41" s="53"/>
      <c r="F41" s="26"/>
      <c r="G41" s="35"/>
      <c r="H41" s="51"/>
      <c r="I41" s="88"/>
      <c r="J41" s="87"/>
      <c r="K41" s="46"/>
      <c r="L41" s="80"/>
      <c r="M41" s="80"/>
      <c r="N41" s="85"/>
      <c r="O41" s="50"/>
    </row>
    <row r="42" s="7" customFormat="1" ht="18" customHeight="1" spans="1:15">
      <c r="A42" s="44"/>
      <c r="B42" s="26">
        <f t="shared" ref="B42:B47" si="7">ROUND(G42/(1+E42),2)</f>
        <v>0</v>
      </c>
      <c r="C42" s="61"/>
      <c r="D42" s="46"/>
      <c r="E42" s="53"/>
      <c r="F42" s="26">
        <f>ROUND(G42/(1+E42)*E42,2)</f>
        <v>0</v>
      </c>
      <c r="G42" s="35"/>
      <c r="H42" s="51"/>
      <c r="I42" s="88"/>
      <c r="J42" s="87"/>
      <c r="K42" s="46"/>
      <c r="L42" s="80"/>
      <c r="M42" s="80"/>
      <c r="N42" s="85"/>
      <c r="O42" s="50"/>
    </row>
    <row r="43" s="7" customFormat="1" ht="18" customHeight="1" spans="1:15">
      <c r="A43" s="44"/>
      <c r="B43" s="26">
        <f t="shared" si="7"/>
        <v>0</v>
      </c>
      <c r="C43" s="61"/>
      <c r="D43" s="46"/>
      <c r="E43" s="53"/>
      <c r="F43" s="26">
        <f>ROUND(G43/(1+E43)*E43,2)</f>
        <v>0</v>
      </c>
      <c r="G43" s="35"/>
      <c r="H43" s="60">
        <v>44214</v>
      </c>
      <c r="I43" s="111">
        <v>-166744</v>
      </c>
      <c r="J43" s="82" t="s">
        <v>87</v>
      </c>
      <c r="K43" s="57" t="s">
        <v>100</v>
      </c>
      <c r="L43" s="80"/>
      <c r="M43" s="80"/>
      <c r="N43" s="85"/>
      <c r="O43" s="50"/>
    </row>
    <row r="44" s="7" customFormat="1" ht="18" customHeight="1" spans="1:15">
      <c r="A44" s="44"/>
      <c r="B44" s="26">
        <f t="shared" si="7"/>
        <v>0</v>
      </c>
      <c r="C44" s="61"/>
      <c r="D44" s="46"/>
      <c r="E44" s="53"/>
      <c r="F44" s="26">
        <f>ROUND(G44/(1+E44)*E44,2)</f>
        <v>0</v>
      </c>
      <c r="G44" s="35"/>
      <c r="H44" s="60">
        <v>44214</v>
      </c>
      <c r="I44" s="111">
        <v>200</v>
      </c>
      <c r="J44" s="82" t="s">
        <v>41</v>
      </c>
      <c r="K44" s="57" t="s">
        <v>86</v>
      </c>
      <c r="L44" s="80"/>
      <c r="M44" s="80"/>
      <c r="N44" s="85"/>
      <c r="O44" s="50"/>
    </row>
    <row r="45" s="7" customFormat="1" ht="18" customHeight="1" spans="1:15">
      <c r="A45" s="44"/>
      <c r="B45" s="26">
        <f t="shared" si="7"/>
        <v>0</v>
      </c>
      <c r="C45" s="61"/>
      <c r="D45" s="46"/>
      <c r="E45" s="53"/>
      <c r="F45" s="26"/>
      <c r="G45" s="35"/>
      <c r="H45" s="51" t="s">
        <v>85</v>
      </c>
      <c r="I45" s="88">
        <v>100</v>
      </c>
      <c r="J45" s="87" t="s">
        <v>41</v>
      </c>
      <c r="K45" s="46" t="s">
        <v>86</v>
      </c>
      <c r="L45" s="80"/>
      <c r="M45" s="80"/>
      <c r="N45" s="85"/>
      <c r="O45" s="50"/>
    </row>
    <row r="46" s="7" customFormat="1" ht="18" customHeight="1" spans="1:15">
      <c r="A46" s="44"/>
      <c r="B46" s="26">
        <f t="shared" si="7"/>
        <v>17000</v>
      </c>
      <c r="C46" s="61"/>
      <c r="D46" s="46"/>
      <c r="E46" s="53"/>
      <c r="F46" s="26"/>
      <c r="G46" s="35">
        <v>17000</v>
      </c>
      <c r="H46" s="51">
        <v>44195</v>
      </c>
      <c r="I46" s="88">
        <v>17000</v>
      </c>
      <c r="J46" s="87" t="s">
        <v>41</v>
      </c>
      <c r="K46" s="46" t="s">
        <v>74</v>
      </c>
      <c r="L46" s="80"/>
      <c r="M46" s="80"/>
      <c r="N46" s="85"/>
      <c r="O46" s="50"/>
    </row>
    <row r="47" s="7" customFormat="1" ht="18" customHeight="1" spans="1:15">
      <c r="A47" s="44"/>
      <c r="B47" s="26">
        <f t="shared" si="7"/>
        <v>0</v>
      </c>
      <c r="C47" s="61"/>
      <c r="D47" s="46"/>
      <c r="E47" s="53"/>
      <c r="F47" s="26"/>
      <c r="G47" s="35"/>
      <c r="H47" s="51" t="s">
        <v>85</v>
      </c>
      <c r="I47" s="88">
        <v>-215938</v>
      </c>
      <c r="J47" s="87" t="s">
        <v>87</v>
      </c>
      <c r="K47" s="46" t="s">
        <v>88</v>
      </c>
      <c r="L47" s="80"/>
      <c r="M47" s="80"/>
      <c r="N47" s="85"/>
      <c r="O47" s="50"/>
    </row>
    <row r="48" s="7" customFormat="1" ht="18" customHeight="1" spans="1:15">
      <c r="A48" s="44"/>
      <c r="B48" s="26"/>
      <c r="C48" s="61"/>
      <c r="D48" s="46"/>
      <c r="E48" s="53"/>
      <c r="F48" s="26"/>
      <c r="G48" s="35"/>
      <c r="H48" s="51">
        <v>44190</v>
      </c>
      <c r="I48" s="89">
        <f>-(I49+I50+I54+I55)</f>
        <v>-112339</v>
      </c>
      <c r="J48" s="87" t="s">
        <v>89</v>
      </c>
      <c r="K48" s="46" t="s">
        <v>90</v>
      </c>
      <c r="L48" s="80"/>
      <c r="M48" s="80"/>
      <c r="N48" s="85"/>
      <c r="O48" s="50"/>
    </row>
    <row r="49" s="7" customFormat="1" ht="18" customHeight="1" spans="1:15">
      <c r="A49" s="44"/>
      <c r="B49" s="26">
        <f t="shared" ref="B49:B55" si="8">ROUND(G49/(1+E49),2)</f>
        <v>65600</v>
      </c>
      <c r="C49" s="61"/>
      <c r="D49" s="46"/>
      <c r="E49" s="53"/>
      <c r="F49" s="26"/>
      <c r="G49" s="35">
        <v>65600</v>
      </c>
      <c r="H49" s="51">
        <v>44190</v>
      </c>
      <c r="I49" s="88">
        <v>65600</v>
      </c>
      <c r="J49" s="87" t="s">
        <v>41</v>
      </c>
      <c r="K49" s="46" t="s">
        <v>74</v>
      </c>
      <c r="L49" s="80"/>
      <c r="M49" s="80"/>
      <c r="N49" s="85"/>
      <c r="O49" s="50"/>
    </row>
    <row r="50" s="7" customFormat="1" ht="18" customHeight="1" spans="1:15">
      <c r="A50" s="63"/>
      <c r="B50" s="26">
        <f t="shared" si="8"/>
        <v>0</v>
      </c>
      <c r="C50" s="61"/>
      <c r="D50" s="46"/>
      <c r="E50" s="47"/>
      <c r="F50" s="26">
        <f t="shared" ref="F50:F55" si="9">ROUND(G50/(1+E50)*E50,2)</f>
        <v>0</v>
      </c>
      <c r="G50" s="35"/>
      <c r="H50" s="51">
        <v>44190</v>
      </c>
      <c r="I50" s="88">
        <v>1900</v>
      </c>
      <c r="J50" s="87" t="s">
        <v>41</v>
      </c>
      <c r="K50" s="46" t="s">
        <v>75</v>
      </c>
      <c r="L50" s="80"/>
      <c r="M50" s="80"/>
      <c r="N50" s="85"/>
      <c r="O50" s="50"/>
    </row>
    <row r="51" s="7" customFormat="1" ht="18" customHeight="1" spans="1:15">
      <c r="A51" s="63"/>
      <c r="B51" s="26">
        <f t="shared" si="8"/>
        <v>0</v>
      </c>
      <c r="C51" s="61"/>
      <c r="D51" s="46"/>
      <c r="E51" s="47"/>
      <c r="F51" s="26">
        <f t="shared" si="9"/>
        <v>0</v>
      </c>
      <c r="G51" s="35"/>
      <c r="H51" s="51">
        <v>44190</v>
      </c>
      <c r="I51" s="88">
        <v>450</v>
      </c>
      <c r="J51" s="87" t="s">
        <v>41</v>
      </c>
      <c r="K51" s="46" t="s">
        <v>42</v>
      </c>
      <c r="L51" s="80"/>
      <c r="M51" s="85"/>
      <c r="N51" s="85"/>
      <c r="O51" s="50"/>
    </row>
    <row r="52" s="7" customFormat="1" ht="18" customHeight="1" spans="1:15">
      <c r="A52" s="63"/>
      <c r="B52" s="26">
        <f t="shared" si="8"/>
        <v>0</v>
      </c>
      <c r="C52" s="61"/>
      <c r="D52" s="46"/>
      <c r="E52" s="47"/>
      <c r="F52" s="26">
        <f t="shared" si="9"/>
        <v>0</v>
      </c>
      <c r="G52" s="35"/>
      <c r="H52" s="51">
        <v>44190</v>
      </c>
      <c r="I52" s="88">
        <v>20000</v>
      </c>
      <c r="J52" s="87" t="s">
        <v>41</v>
      </c>
      <c r="K52" s="46" t="s">
        <v>76</v>
      </c>
      <c r="L52" s="80"/>
      <c r="M52" s="85"/>
      <c r="N52" s="85"/>
      <c r="O52" s="50"/>
    </row>
    <row r="53" s="7" customFormat="1" ht="18" customHeight="1" spans="1:15">
      <c r="A53" s="63"/>
      <c r="B53" s="26">
        <f t="shared" si="8"/>
        <v>0</v>
      </c>
      <c r="C53" s="61"/>
      <c r="D53" s="46"/>
      <c r="E53" s="47"/>
      <c r="F53" s="26">
        <f t="shared" si="9"/>
        <v>0</v>
      </c>
      <c r="G53" s="35"/>
      <c r="H53" s="51">
        <v>44190</v>
      </c>
      <c r="I53" s="88">
        <v>382682</v>
      </c>
      <c r="J53" s="87" t="s">
        <v>77</v>
      </c>
      <c r="K53" s="46" t="s">
        <v>78</v>
      </c>
      <c r="L53" s="80"/>
      <c r="M53" s="85"/>
      <c r="N53" s="85"/>
      <c r="O53" s="50"/>
    </row>
    <row r="54" s="7" customFormat="1" ht="18" customHeight="1" spans="1:15">
      <c r="A54" s="63"/>
      <c r="B54" s="26">
        <f t="shared" si="8"/>
        <v>0</v>
      </c>
      <c r="C54" s="61"/>
      <c r="D54" s="46"/>
      <c r="E54" s="47"/>
      <c r="F54" s="26">
        <f t="shared" si="9"/>
        <v>0</v>
      </c>
      <c r="G54" s="35"/>
      <c r="H54" s="51">
        <v>44190</v>
      </c>
      <c r="I54" s="88">
        <v>42500</v>
      </c>
      <c r="J54" s="87" t="s">
        <v>41</v>
      </c>
      <c r="K54" s="46" t="s">
        <v>79</v>
      </c>
      <c r="L54" s="80"/>
      <c r="M54" s="85"/>
      <c r="N54" s="85"/>
      <c r="O54" s="50"/>
    </row>
    <row r="55" s="7" customFormat="1" ht="18" customHeight="1" spans="1:15">
      <c r="A55" s="63"/>
      <c r="B55" s="26">
        <f t="shared" si="8"/>
        <v>0</v>
      </c>
      <c r="C55" s="61"/>
      <c r="D55" s="46"/>
      <c r="E55" s="47"/>
      <c r="F55" s="26">
        <f t="shared" si="9"/>
        <v>0</v>
      </c>
      <c r="G55" s="35"/>
      <c r="H55" s="51">
        <v>44190</v>
      </c>
      <c r="I55" s="88">
        <v>2339</v>
      </c>
      <c r="J55" s="87" t="s">
        <v>41</v>
      </c>
      <c r="K55" s="46" t="s">
        <v>80</v>
      </c>
      <c r="L55" s="80"/>
      <c r="M55" s="85"/>
      <c r="N55" s="85"/>
      <c r="O55" s="50"/>
    </row>
    <row r="56" ht="18" customHeight="1" spans="1:15">
      <c r="A56" s="64" t="s">
        <v>21</v>
      </c>
      <c r="B56" s="42">
        <f>SUM(B14:B55)</f>
        <v>5005276.51</v>
      </c>
      <c r="C56" s="64"/>
      <c r="D56" s="65"/>
      <c r="E56" s="65"/>
      <c r="F56" s="66">
        <f>SUM(F14:F55)</f>
        <v>345294.49</v>
      </c>
      <c r="G56" s="67">
        <f>SUM(G14:G55)</f>
        <v>5350571</v>
      </c>
      <c r="H56" s="68"/>
      <c r="I56" s="90">
        <f>SUM(I14:I55)</f>
        <v>3399369</v>
      </c>
      <c r="J56" s="91" t="s">
        <v>41</v>
      </c>
      <c r="K56" s="92" t="s">
        <v>42</v>
      </c>
      <c r="L56" s="77"/>
      <c r="M56" s="77"/>
      <c r="N56" s="77"/>
      <c r="O56" s="93"/>
    </row>
    <row r="57" ht="18" customHeight="1" spans="1:14">
      <c r="A57" s="69" t="s">
        <v>43</v>
      </c>
      <c r="B57" s="70">
        <f>B11*0.96</f>
        <v>3743119.26605505</v>
      </c>
      <c r="C57" s="69"/>
      <c r="D57" s="71"/>
      <c r="E57" s="71"/>
      <c r="F57" s="70"/>
      <c r="G57" s="72">
        <f>G11-G56</f>
        <v>-1100571</v>
      </c>
      <c r="H57" s="30" t="s">
        <v>44</v>
      </c>
      <c r="I57" s="29">
        <f>I11-I56</f>
        <v>730631</v>
      </c>
      <c r="J57" s="14"/>
      <c r="K57" s="94"/>
      <c r="M57" s="14"/>
      <c r="N57" s="14"/>
    </row>
    <row r="58" ht="18" customHeight="1" spans="1:14">
      <c r="A58" s="69" t="s">
        <v>45</v>
      </c>
      <c r="B58" s="70">
        <f>B57-B56</f>
        <v>-1262157.24394496</v>
      </c>
      <c r="C58" s="69"/>
      <c r="D58" s="71"/>
      <c r="E58" s="71"/>
      <c r="F58" s="70"/>
      <c r="G58" s="72"/>
      <c r="H58" s="73"/>
      <c r="I58" s="72"/>
      <c r="J58" s="14"/>
      <c r="K58" s="94"/>
      <c r="M58" s="14"/>
      <c r="N58" s="14"/>
    </row>
    <row r="59" ht="18" customHeight="1" spans="1:3">
      <c r="A59" s="9" t="s">
        <v>46</v>
      </c>
      <c r="C59" s="9"/>
    </row>
    <row r="60" ht="18" customHeight="1" spans="1:8">
      <c r="A60" s="30" t="s">
        <v>47</v>
      </c>
      <c r="B60" s="29" t="s">
        <v>48</v>
      </c>
      <c r="C60" s="93"/>
      <c r="D60" s="30" t="s">
        <v>47</v>
      </c>
      <c r="E60" s="28" t="s">
        <v>16</v>
      </c>
      <c r="F60" s="67" t="s">
        <v>48</v>
      </c>
      <c r="G60" s="24" t="s">
        <v>81</v>
      </c>
      <c r="H60" s="20" t="s">
        <v>91</v>
      </c>
    </row>
    <row r="61" ht="18" customHeight="1" spans="1:8">
      <c r="A61" s="93" t="s">
        <v>49</v>
      </c>
      <c r="B61" s="26">
        <f>(B57-B56)*0.25</f>
        <v>-315539.310986239</v>
      </c>
      <c r="C61" s="93"/>
      <c r="D61" s="41" t="s">
        <v>50</v>
      </c>
      <c r="E61" s="30" t="s">
        <v>51</v>
      </c>
      <c r="F61" s="95">
        <f>F11-F56</f>
        <v>-72358.7101834862</v>
      </c>
      <c r="G61" s="96">
        <f>F7-F20</f>
        <v>-14674.8401834862</v>
      </c>
      <c r="H61" s="20"/>
    </row>
    <row r="62" ht="18" customHeight="1" spans="1:8">
      <c r="A62" s="93" t="s">
        <v>52</v>
      </c>
      <c r="B62" s="97"/>
      <c r="C62" s="93"/>
      <c r="D62" s="98" t="s">
        <v>53</v>
      </c>
      <c r="E62" s="22">
        <v>0.07</v>
      </c>
      <c r="F62" s="99">
        <f>F61*E62</f>
        <v>-5065.10971284404</v>
      </c>
      <c r="G62" s="96">
        <f>G61*E62</f>
        <v>-1027.23881284404</v>
      </c>
      <c r="H62" s="20"/>
    </row>
    <row r="63" ht="18" customHeight="1" spans="1:8">
      <c r="A63" s="93" t="s">
        <v>54</v>
      </c>
      <c r="B63" s="97"/>
      <c r="C63" s="93"/>
      <c r="D63" s="98" t="s">
        <v>55</v>
      </c>
      <c r="E63" s="22">
        <v>0.03</v>
      </c>
      <c r="F63" s="99">
        <f>F61*E63</f>
        <v>-2170.76130550459</v>
      </c>
      <c r="G63" s="96">
        <f>G61*E63</f>
        <v>-440.245205504587</v>
      </c>
      <c r="H63" s="20"/>
    </row>
    <row r="64" ht="18" customHeight="1" spans="1:10">
      <c r="A64" s="93"/>
      <c r="B64" s="37"/>
      <c r="C64" s="93"/>
      <c r="D64" s="98" t="s">
        <v>56</v>
      </c>
      <c r="E64" s="22">
        <v>0.02</v>
      </c>
      <c r="F64" s="99">
        <f>F61*E64</f>
        <v>-1447.17420366972</v>
      </c>
      <c r="G64" s="96">
        <f>G61*E64</f>
        <v>-293.496803669725</v>
      </c>
      <c r="H64" s="20"/>
      <c r="J64" s="13" t="s">
        <v>82</v>
      </c>
    </row>
    <row r="65" ht="18" customHeight="1" spans="1:8">
      <c r="A65" s="41" t="s">
        <v>57</v>
      </c>
      <c r="B65" s="42">
        <f>SUM(B61:B64)</f>
        <v>-315539.310986239</v>
      </c>
      <c r="C65" s="93"/>
      <c r="D65" s="43" t="s">
        <v>57</v>
      </c>
      <c r="E65" s="41"/>
      <c r="F65" s="95">
        <f>SUM(F61:F64)</f>
        <v>-81041.7554055046</v>
      </c>
      <c r="G65" s="96">
        <v>0</v>
      </c>
      <c r="H65" s="20"/>
    </row>
    <row r="66" ht="18" customHeight="1" spans="3:8">
      <c r="C66" s="9"/>
      <c r="D66" s="20" t="s">
        <v>52</v>
      </c>
      <c r="E66" s="100">
        <v>0.0003</v>
      </c>
      <c r="F66" s="99">
        <f>G11*E66</f>
        <v>1275</v>
      </c>
      <c r="G66" s="96">
        <v>0</v>
      </c>
      <c r="H66" s="20"/>
    </row>
    <row r="67" ht="18" customHeight="1" spans="3:8">
      <c r="C67" s="9"/>
      <c r="D67" s="20" t="s">
        <v>54</v>
      </c>
      <c r="E67" s="100">
        <v>0.0006</v>
      </c>
      <c r="F67" s="99">
        <f>B11*E67</f>
        <v>2339.4495412844</v>
      </c>
      <c r="G67" s="96">
        <f>E67*B7</f>
        <v>2339.4495412844</v>
      </c>
      <c r="H67" s="20"/>
    </row>
    <row r="68" ht="18" customHeight="1" spans="3:8">
      <c r="C68" s="9"/>
      <c r="D68" s="101" t="s">
        <v>57</v>
      </c>
      <c r="E68" s="102"/>
      <c r="F68" s="103">
        <f>F67+F66</f>
        <v>3614.4495412844</v>
      </c>
      <c r="G68" s="104">
        <f>G65+G66+G67</f>
        <v>2339.4495412844</v>
      </c>
      <c r="H68" s="20"/>
    </row>
    <row r="69" ht="18" customHeight="1" spans="3:8">
      <c r="C69" s="9"/>
      <c r="D69" s="28" t="s">
        <v>21</v>
      </c>
      <c r="E69" s="64"/>
      <c r="F69" s="105">
        <f>F65+F68</f>
        <v>-77427.3058642202</v>
      </c>
      <c r="G69" s="96"/>
      <c r="H69" s="20"/>
    </row>
    <row r="70" ht="18" customHeight="1" spans="3:8">
      <c r="C70" s="9"/>
      <c r="D70" s="106" t="s">
        <v>83</v>
      </c>
      <c r="E70" s="102">
        <v>0.01</v>
      </c>
      <c r="F70" s="103"/>
      <c r="G70" s="104">
        <f>E70*G7</f>
        <v>42500</v>
      </c>
      <c r="H70" s="20"/>
    </row>
    <row r="71" ht="18" customHeight="1" spans="3:8">
      <c r="C71" s="9"/>
      <c r="D71" s="107" t="s">
        <v>84</v>
      </c>
      <c r="E71" s="107"/>
      <c r="F71" s="108"/>
      <c r="G71" s="104">
        <f>1530729.89*0.25</f>
        <v>382682.4725</v>
      </c>
      <c r="H71" s="109">
        <v>215937.648486238</v>
      </c>
    </row>
    <row r="72" ht="18" customHeight="1" spans="3:3">
      <c r="C72" s="9"/>
    </row>
    <row r="73" ht="18" customHeight="1" spans="3:3">
      <c r="C73" s="9"/>
    </row>
    <row r="74" spans="3:3">
      <c r="C74" s="9"/>
    </row>
    <row r="75" spans="3:3">
      <c r="C75" s="9"/>
    </row>
    <row r="76" spans="3:3">
      <c r="C76" s="9"/>
    </row>
    <row r="77" spans="3:3">
      <c r="C77" s="9"/>
    </row>
    <row r="78" spans="3:3">
      <c r="C78" s="9"/>
    </row>
    <row r="79" spans="3:3">
      <c r="C79" s="9"/>
    </row>
    <row r="80" spans="3:3">
      <c r="C80" s="9"/>
    </row>
    <row r="81" spans="3:3">
      <c r="C81" s="9"/>
    </row>
    <row r="82" spans="3:3">
      <c r="C82" s="9"/>
    </row>
    <row r="83" spans="3:3">
      <c r="C83" s="9"/>
    </row>
    <row r="84" spans="3:3">
      <c r="C84" s="9"/>
    </row>
    <row r="85" spans="3:3">
      <c r="C85" s="9"/>
    </row>
    <row r="86" spans="3:3">
      <c r="C86" s="9"/>
    </row>
    <row r="87" spans="3:3">
      <c r="C87" s="9"/>
    </row>
    <row r="88" spans="3:3">
      <c r="C88" s="9"/>
    </row>
    <row r="89" spans="3:3">
      <c r="C89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"/>
  <sheetViews>
    <sheetView tabSelected="1" workbookViewId="0">
      <selection activeCell="A1" sqref="A1:J1"/>
    </sheetView>
  </sheetViews>
  <sheetFormatPr defaultColWidth="9" defaultRowHeight="11.25"/>
  <cols>
    <col min="1" max="1" width="10.75" style="9" customWidth="1"/>
    <col min="2" max="2" width="13.1333333333333" style="10" customWidth="1"/>
    <col min="3" max="3" width="6" style="11" customWidth="1"/>
    <col min="4" max="4" width="13.3833333333333" style="11" customWidth="1"/>
    <col min="5" max="5" width="6" style="11" customWidth="1"/>
    <col min="6" max="6" width="12.8833333333333" style="10" customWidth="1"/>
    <col min="7" max="7" width="14.1333333333333" style="12" customWidth="1"/>
    <col min="8" max="8" width="12.5583333333333" style="11" customWidth="1"/>
    <col min="9" max="9" width="13.8833333333333" style="12" customWidth="1"/>
    <col min="10" max="10" width="6.13333333333333" style="13" customWidth="1"/>
    <col min="11" max="11" width="31.5" style="14" customWidth="1"/>
    <col min="12" max="12" width="12.75" style="14" customWidth="1"/>
    <col min="13" max="13" width="6" style="15" customWidth="1"/>
    <col min="14" max="14" width="5.63333333333333" style="15" customWidth="1"/>
    <col min="15" max="16384" width="9" style="15"/>
  </cols>
  <sheetData>
    <row r="1" ht="21.95" customHeight="1" spans="1:12">
      <c r="A1" s="16" t="s">
        <v>58</v>
      </c>
      <c r="B1" s="16"/>
      <c r="C1" s="16"/>
      <c r="D1" s="16"/>
      <c r="E1" s="16"/>
      <c r="F1" s="17"/>
      <c r="G1" s="17"/>
      <c r="H1" s="16"/>
      <c r="I1" s="17"/>
      <c r="J1" s="16"/>
      <c r="K1" s="27"/>
      <c r="L1" s="27"/>
    </row>
    <row r="2" ht="31" customHeight="1" spans="1:12">
      <c r="A2" s="18" t="s">
        <v>1</v>
      </c>
      <c r="B2" s="19">
        <v>44044</v>
      </c>
      <c r="C2" s="20" t="s">
        <v>2</v>
      </c>
      <c r="D2" s="21">
        <v>6016197</v>
      </c>
      <c r="E2" s="22" t="s">
        <v>3</v>
      </c>
      <c r="F2" s="23" t="s">
        <v>59</v>
      </c>
      <c r="G2" s="24" t="s">
        <v>5</v>
      </c>
      <c r="H2" s="25" t="s">
        <v>6</v>
      </c>
      <c r="I2" s="74"/>
      <c r="J2" s="75"/>
      <c r="K2" s="27"/>
      <c r="L2" s="27"/>
    </row>
    <row r="3" ht="18" customHeight="1" spans="1:12">
      <c r="A3" s="18" t="s">
        <v>7</v>
      </c>
      <c r="B3" s="26"/>
      <c r="C3" s="20" t="s">
        <v>8</v>
      </c>
      <c r="D3" s="20"/>
      <c r="H3" s="27"/>
      <c r="I3" s="76"/>
      <c r="J3" s="27"/>
      <c r="K3" s="27"/>
      <c r="L3" s="27"/>
    </row>
    <row r="4" ht="18" customHeight="1" spans="1:12">
      <c r="A4" s="9" t="s">
        <v>9</v>
      </c>
      <c r="H4" s="27"/>
      <c r="I4" s="76"/>
      <c r="J4" s="27"/>
      <c r="K4" s="27"/>
      <c r="L4" s="27"/>
    </row>
    <row r="5" ht="18" customHeight="1" spans="1:10">
      <c r="A5" s="28" t="s">
        <v>10</v>
      </c>
      <c r="B5" s="29" t="s">
        <v>11</v>
      </c>
      <c r="C5" s="28" t="s">
        <v>12</v>
      </c>
      <c r="D5" s="28"/>
      <c r="E5" s="28" t="s">
        <v>13</v>
      </c>
      <c r="F5" s="29"/>
      <c r="G5" s="29" t="s">
        <v>14</v>
      </c>
      <c r="H5" s="30" t="s">
        <v>15</v>
      </c>
      <c r="I5" s="29"/>
      <c r="J5" s="30"/>
    </row>
    <row r="6" ht="18" customHeight="1" spans="1:10">
      <c r="A6" s="28"/>
      <c r="B6" s="29"/>
      <c r="C6" s="28" t="s">
        <v>16</v>
      </c>
      <c r="D6" s="28" t="s">
        <v>17</v>
      </c>
      <c r="E6" s="28" t="s">
        <v>16</v>
      </c>
      <c r="F6" s="29" t="s">
        <v>17</v>
      </c>
      <c r="G6" s="29"/>
      <c r="H6" s="30" t="s">
        <v>18</v>
      </c>
      <c r="I6" s="29" t="s">
        <v>19</v>
      </c>
      <c r="J6" s="30" t="s">
        <v>20</v>
      </c>
    </row>
    <row r="7" ht="18" customHeight="1" spans="1:10">
      <c r="A7" s="31" t="s">
        <v>60</v>
      </c>
      <c r="B7" s="26">
        <f t="shared" ref="B7:B10" si="0">G7/(1+C7+E7)</f>
        <v>3899082.56880734</v>
      </c>
      <c r="C7" s="32">
        <v>0.02</v>
      </c>
      <c r="D7" s="33">
        <f t="shared" ref="D7:D10" si="1">G7/(1+E7+C7)*C7</f>
        <v>77981.6513761468</v>
      </c>
      <c r="E7" s="34">
        <v>0.07</v>
      </c>
      <c r="F7" s="26">
        <f t="shared" ref="F7:F10" si="2">G7/(1+C7+E7)*E7</f>
        <v>272935.779816514</v>
      </c>
      <c r="G7" s="35">
        <v>4250000</v>
      </c>
      <c r="H7" s="36">
        <v>44181</v>
      </c>
      <c r="I7" s="24">
        <v>2624000</v>
      </c>
      <c r="J7" s="77" t="s">
        <v>38</v>
      </c>
    </row>
    <row r="8" ht="18" customHeight="1" spans="1:10">
      <c r="A8" s="36"/>
      <c r="B8" s="37">
        <f t="shared" si="0"/>
        <v>0</v>
      </c>
      <c r="C8" s="38">
        <v>0.02</v>
      </c>
      <c r="D8" s="39">
        <f t="shared" si="1"/>
        <v>0</v>
      </c>
      <c r="E8" s="40">
        <v>0.07</v>
      </c>
      <c r="F8" s="37">
        <f t="shared" si="2"/>
        <v>0</v>
      </c>
      <c r="G8" s="35"/>
      <c r="H8" s="36">
        <v>44181</v>
      </c>
      <c r="I8" s="24">
        <v>656000</v>
      </c>
      <c r="J8" s="77" t="s">
        <v>66</v>
      </c>
    </row>
    <row r="9" ht="18" customHeight="1" spans="1:10">
      <c r="A9" s="36"/>
      <c r="B9" s="37">
        <f t="shared" si="0"/>
        <v>0</v>
      </c>
      <c r="C9" s="38">
        <v>0.02</v>
      </c>
      <c r="D9" s="39">
        <f t="shared" si="1"/>
        <v>0</v>
      </c>
      <c r="E9" s="40">
        <v>0.07</v>
      </c>
      <c r="F9" s="37">
        <f t="shared" si="2"/>
        <v>0</v>
      </c>
      <c r="G9" s="35"/>
      <c r="H9" s="36">
        <v>44194</v>
      </c>
      <c r="I9" s="24">
        <v>680000</v>
      </c>
      <c r="J9" s="77" t="s">
        <v>38</v>
      </c>
    </row>
    <row r="10" ht="18" customHeight="1" spans="1:10">
      <c r="A10" s="36"/>
      <c r="B10" s="37">
        <f t="shared" si="0"/>
        <v>0</v>
      </c>
      <c r="C10" s="38">
        <v>0.02</v>
      </c>
      <c r="D10" s="39">
        <f t="shared" si="1"/>
        <v>0</v>
      </c>
      <c r="E10" s="40">
        <v>0.07</v>
      </c>
      <c r="F10" s="37">
        <f t="shared" si="2"/>
        <v>0</v>
      </c>
      <c r="G10" s="35"/>
      <c r="H10" s="36">
        <v>44194</v>
      </c>
      <c r="I10" s="24">
        <v>170000</v>
      </c>
      <c r="J10" s="77" t="s">
        <v>66</v>
      </c>
    </row>
    <row r="11" ht="18" customHeight="1" spans="1:10">
      <c r="A11" s="36"/>
      <c r="B11" s="37"/>
      <c r="C11" s="38"/>
      <c r="D11" s="39"/>
      <c r="E11" s="40"/>
      <c r="F11" s="37"/>
      <c r="G11" s="35"/>
      <c r="H11" s="36">
        <v>44221</v>
      </c>
      <c r="I11" s="24">
        <v>96000</v>
      </c>
      <c r="J11" s="77" t="s">
        <v>38</v>
      </c>
    </row>
    <row r="12" ht="18" customHeight="1" spans="1:10">
      <c r="A12" s="36"/>
      <c r="B12" s="37"/>
      <c r="C12" s="38"/>
      <c r="D12" s="39"/>
      <c r="E12" s="40"/>
      <c r="F12" s="37"/>
      <c r="G12" s="35"/>
      <c r="H12" s="36"/>
      <c r="I12" s="24"/>
      <c r="J12" s="77"/>
    </row>
    <row r="13" ht="18" customHeight="1" spans="1:10">
      <c r="A13" s="36"/>
      <c r="B13" s="37"/>
      <c r="C13" s="38"/>
      <c r="D13" s="39"/>
      <c r="E13" s="40"/>
      <c r="F13" s="37"/>
      <c r="G13" s="35"/>
      <c r="H13" s="36"/>
      <c r="I13" s="24"/>
      <c r="J13" s="77"/>
    </row>
    <row r="14" ht="18" customHeight="1" spans="1:10">
      <c r="A14" s="41" t="s">
        <v>21</v>
      </c>
      <c r="B14" s="42">
        <f>SUM(B7:B13)</f>
        <v>3899082.56880734</v>
      </c>
      <c r="C14" s="42"/>
      <c r="D14" s="42">
        <f t="shared" ref="C14:I14" si="3">SUM(D7:D13)</f>
        <v>77981.6513761468</v>
      </c>
      <c r="E14" s="42"/>
      <c r="F14" s="42">
        <f t="shared" si="3"/>
        <v>272935.779816514</v>
      </c>
      <c r="G14" s="42">
        <f t="shared" si="3"/>
        <v>4250000</v>
      </c>
      <c r="H14" s="42"/>
      <c r="I14" s="42">
        <f t="shared" si="3"/>
        <v>4226000</v>
      </c>
      <c r="J14" s="77"/>
    </row>
    <row r="15" ht="18" customHeight="1" spans="1:12">
      <c r="A15" s="9" t="s">
        <v>22</v>
      </c>
      <c r="J15" s="78"/>
      <c r="K15" s="78"/>
      <c r="L15" s="13"/>
    </row>
    <row r="16" ht="18" customHeight="1" spans="1:15">
      <c r="A16" s="43" t="s">
        <v>23</v>
      </c>
      <c r="B16" s="29" t="s">
        <v>24</v>
      </c>
      <c r="C16" s="28" t="s">
        <v>25</v>
      </c>
      <c r="D16" s="28" t="s">
        <v>26</v>
      </c>
      <c r="E16" s="28" t="s">
        <v>16</v>
      </c>
      <c r="F16" s="29" t="s">
        <v>27</v>
      </c>
      <c r="G16" s="29" t="s">
        <v>14</v>
      </c>
      <c r="H16" s="28" t="s">
        <v>28</v>
      </c>
      <c r="I16" s="29" t="s">
        <v>29</v>
      </c>
      <c r="J16" s="28" t="s">
        <v>20</v>
      </c>
      <c r="K16" s="79" t="s">
        <v>30</v>
      </c>
      <c r="L16" s="30" t="s">
        <v>31</v>
      </c>
      <c r="M16" s="30" t="s">
        <v>32</v>
      </c>
      <c r="N16" s="30" t="s">
        <v>33</v>
      </c>
      <c r="O16" s="30" t="s">
        <v>34</v>
      </c>
    </row>
    <row r="17" s="7" customFormat="1" ht="18" customHeight="1" spans="1:15">
      <c r="A17" s="44"/>
      <c r="B17" s="33"/>
      <c r="C17" s="45"/>
      <c r="D17" s="46"/>
      <c r="E17" s="47"/>
      <c r="F17" s="33"/>
      <c r="G17" s="48"/>
      <c r="H17" s="49">
        <v>44160</v>
      </c>
      <c r="I17" s="48">
        <v>-1000000</v>
      </c>
      <c r="J17" s="80" t="s">
        <v>35</v>
      </c>
      <c r="K17" s="81" t="s">
        <v>61</v>
      </c>
      <c r="L17" s="81" t="s">
        <v>67</v>
      </c>
      <c r="M17" s="80"/>
      <c r="N17" s="80"/>
      <c r="O17" s="50"/>
    </row>
    <row r="18" s="7" customFormat="1" ht="18" customHeight="1" spans="1:15">
      <c r="A18" s="50"/>
      <c r="B18" s="50"/>
      <c r="C18" s="50"/>
      <c r="D18" s="50"/>
      <c r="E18" s="50"/>
      <c r="F18" s="50"/>
      <c r="G18" s="50"/>
      <c r="H18" s="49">
        <v>44160</v>
      </c>
      <c r="I18" s="48">
        <v>1000000</v>
      </c>
      <c r="J18" s="80" t="s">
        <v>38</v>
      </c>
      <c r="K18" s="46" t="s">
        <v>62</v>
      </c>
      <c r="L18" s="80" t="s">
        <v>63</v>
      </c>
      <c r="M18" s="80"/>
      <c r="N18" s="80"/>
      <c r="O18" s="50"/>
    </row>
    <row r="19" s="7" customFormat="1" ht="18" customHeight="1" spans="1:15">
      <c r="A19" s="44"/>
      <c r="B19" s="33"/>
      <c r="C19" s="45"/>
      <c r="D19" s="46"/>
      <c r="E19" s="47"/>
      <c r="F19" s="33"/>
      <c r="G19" s="48"/>
      <c r="H19" s="51">
        <v>44161</v>
      </c>
      <c r="I19" s="48">
        <v>-800000</v>
      </c>
      <c r="J19" s="80" t="s">
        <v>35</v>
      </c>
      <c r="K19" s="46" t="s">
        <v>64</v>
      </c>
      <c r="L19" s="80" t="s">
        <v>37</v>
      </c>
      <c r="M19" s="80"/>
      <c r="N19" s="80"/>
      <c r="O19" s="50"/>
    </row>
    <row r="20" s="7" customFormat="1" ht="18" customHeight="1" spans="1:15">
      <c r="A20" s="52"/>
      <c r="B20" s="33"/>
      <c r="C20" s="45"/>
      <c r="D20" s="46"/>
      <c r="E20" s="47"/>
      <c r="F20" s="33"/>
      <c r="G20" s="48"/>
      <c r="H20" s="51">
        <v>44161</v>
      </c>
      <c r="I20" s="48">
        <v>800000</v>
      </c>
      <c r="J20" s="80" t="s">
        <v>38</v>
      </c>
      <c r="K20" s="46" t="s">
        <v>62</v>
      </c>
      <c r="L20" s="80" t="s">
        <v>63</v>
      </c>
      <c r="M20" s="80"/>
      <c r="N20" s="80"/>
      <c r="O20" s="50"/>
    </row>
    <row r="21" s="7" customFormat="1" ht="18" customHeight="1" spans="1:15">
      <c r="A21" s="44"/>
      <c r="B21" s="33"/>
      <c r="C21" s="45"/>
      <c r="D21" s="46"/>
      <c r="E21" s="53"/>
      <c r="F21" s="33"/>
      <c r="G21" s="48"/>
      <c r="H21" s="51">
        <v>44165</v>
      </c>
      <c r="I21" s="48">
        <v>-700000</v>
      </c>
      <c r="J21" s="80" t="s">
        <v>35</v>
      </c>
      <c r="K21" s="46" t="s">
        <v>64</v>
      </c>
      <c r="L21" s="80" t="s">
        <v>37</v>
      </c>
      <c r="M21" s="80"/>
      <c r="N21" s="80"/>
      <c r="O21" s="50"/>
    </row>
    <row r="22" s="7" customFormat="1" ht="18" customHeight="1" spans="1:15">
      <c r="A22" s="44"/>
      <c r="B22" s="33"/>
      <c r="C22" s="45"/>
      <c r="D22" s="46"/>
      <c r="E22" s="47"/>
      <c r="F22" s="33"/>
      <c r="G22" s="48"/>
      <c r="H22" s="51">
        <v>44165</v>
      </c>
      <c r="I22" s="48">
        <v>700000</v>
      </c>
      <c r="J22" s="80" t="s">
        <v>38</v>
      </c>
      <c r="K22" s="46" t="s">
        <v>62</v>
      </c>
      <c r="L22" s="80" t="s">
        <v>63</v>
      </c>
      <c r="M22" s="80"/>
      <c r="N22" s="80"/>
      <c r="O22" s="50"/>
    </row>
    <row r="23" s="8" customFormat="1" ht="18" customHeight="1" spans="1:15">
      <c r="A23" s="54">
        <v>44166</v>
      </c>
      <c r="B23" s="55">
        <f t="shared" ref="B23:B36" si="4">ROUND(G23/(1+E23),2)</f>
        <v>2212389.38</v>
      </c>
      <c r="C23" s="56">
        <v>23</v>
      </c>
      <c r="D23" s="57" t="s">
        <v>68</v>
      </c>
      <c r="E23" s="58">
        <v>0.13</v>
      </c>
      <c r="F23" s="55">
        <f t="shared" ref="F23:F36" si="5">ROUND(G23/(1+E23)*E23,2)</f>
        <v>287610.62</v>
      </c>
      <c r="G23" s="59">
        <v>2500000</v>
      </c>
      <c r="H23" s="60"/>
      <c r="I23" s="59"/>
      <c r="J23" s="82"/>
      <c r="K23" s="57" t="s">
        <v>62</v>
      </c>
      <c r="L23" s="83" t="s">
        <v>63</v>
      </c>
      <c r="M23" s="83"/>
      <c r="N23" s="83"/>
      <c r="O23" s="84"/>
    </row>
    <row r="24" s="7" customFormat="1" ht="18" customHeight="1" spans="1:15">
      <c r="A24" s="44"/>
      <c r="B24" s="26">
        <f t="shared" si="4"/>
        <v>0</v>
      </c>
      <c r="C24" s="61"/>
      <c r="D24" s="46"/>
      <c r="E24" s="53"/>
      <c r="F24" s="26">
        <f t="shared" si="5"/>
        <v>0</v>
      </c>
      <c r="G24" s="35"/>
      <c r="H24" s="49">
        <v>44190</v>
      </c>
      <c r="I24" s="48">
        <v>1000000</v>
      </c>
      <c r="J24" s="80" t="s">
        <v>35</v>
      </c>
      <c r="K24" s="81" t="s">
        <v>69</v>
      </c>
      <c r="L24" s="80" t="s">
        <v>70</v>
      </c>
      <c r="M24" s="85"/>
      <c r="N24" s="85"/>
      <c r="O24" s="50"/>
    </row>
    <row r="25" s="7" customFormat="1" ht="18" customHeight="1" spans="1:15">
      <c r="A25" s="44"/>
      <c r="B25" s="26">
        <f t="shared" si="4"/>
        <v>0</v>
      </c>
      <c r="C25" s="61"/>
      <c r="D25" s="46"/>
      <c r="E25" s="53"/>
      <c r="F25" s="26">
        <f t="shared" si="5"/>
        <v>0</v>
      </c>
      <c r="G25" s="35"/>
      <c r="H25" s="49">
        <v>44190</v>
      </c>
      <c r="I25" s="86">
        <v>700000</v>
      </c>
      <c r="J25" s="80" t="s">
        <v>35</v>
      </c>
      <c r="K25" s="46" t="s">
        <v>71</v>
      </c>
      <c r="L25" s="80" t="s">
        <v>37</v>
      </c>
      <c r="M25" s="85"/>
      <c r="N25" s="85"/>
      <c r="O25" s="50"/>
    </row>
    <row r="26" s="8" customFormat="1" ht="18" customHeight="1" spans="1:15">
      <c r="A26" s="54">
        <v>44166</v>
      </c>
      <c r="B26" s="55">
        <f t="shared" si="4"/>
        <v>608910.89</v>
      </c>
      <c r="C26" s="56">
        <v>7</v>
      </c>
      <c r="D26" s="57" t="s">
        <v>68</v>
      </c>
      <c r="E26" s="58">
        <v>0.01</v>
      </c>
      <c r="F26" s="55">
        <f t="shared" si="5"/>
        <v>6089.11</v>
      </c>
      <c r="G26" s="59">
        <v>615000</v>
      </c>
      <c r="H26" s="62">
        <v>44190</v>
      </c>
      <c r="I26" s="59">
        <v>390000</v>
      </c>
      <c r="J26" s="83" t="s">
        <v>38</v>
      </c>
      <c r="K26" s="57" t="s">
        <v>72</v>
      </c>
      <c r="L26" s="83" t="s">
        <v>73</v>
      </c>
      <c r="M26" s="83"/>
      <c r="N26" s="83"/>
      <c r="O26" s="84"/>
    </row>
    <row r="27" s="8" customFormat="1" ht="18" customHeight="1" spans="1:15">
      <c r="A27" s="54">
        <v>44166</v>
      </c>
      <c r="B27" s="55">
        <f t="shared" si="4"/>
        <v>254841.59</v>
      </c>
      <c r="C27" s="56">
        <v>3</v>
      </c>
      <c r="D27" s="57" t="s">
        <v>68</v>
      </c>
      <c r="E27" s="58">
        <v>0.13</v>
      </c>
      <c r="F27" s="55">
        <f t="shared" si="5"/>
        <v>33129.41</v>
      </c>
      <c r="G27" s="59">
        <v>287971</v>
      </c>
      <c r="H27" s="60"/>
      <c r="I27" s="59"/>
      <c r="J27" s="82"/>
      <c r="K27" s="57" t="s">
        <v>62</v>
      </c>
      <c r="L27" s="83" t="s">
        <v>63</v>
      </c>
      <c r="M27" s="83"/>
      <c r="N27" s="83"/>
      <c r="O27" s="84"/>
    </row>
    <row r="28" s="7" customFormat="1" ht="18" customHeight="1" spans="1:15">
      <c r="A28" s="44"/>
      <c r="B28" s="26">
        <f t="shared" si="4"/>
        <v>0</v>
      </c>
      <c r="C28" s="61"/>
      <c r="D28" s="46"/>
      <c r="E28" s="53"/>
      <c r="F28" s="26">
        <f t="shared" si="5"/>
        <v>0</v>
      </c>
      <c r="G28" s="35"/>
      <c r="H28" s="51" t="s">
        <v>85</v>
      </c>
      <c r="I28" s="48">
        <v>287971</v>
      </c>
      <c r="J28" s="80" t="s">
        <v>38</v>
      </c>
      <c r="K28" s="46" t="s">
        <v>62</v>
      </c>
      <c r="L28" s="80" t="s">
        <v>63</v>
      </c>
      <c r="M28" s="80"/>
      <c r="N28" s="85"/>
      <c r="O28" s="50"/>
    </row>
    <row r="29" s="8" customFormat="1" ht="18" customHeight="1" spans="1:15">
      <c r="A29" s="54">
        <v>43831</v>
      </c>
      <c r="B29" s="55">
        <f t="shared" si="4"/>
        <v>1262376.24</v>
      </c>
      <c r="C29" s="56">
        <v>13</v>
      </c>
      <c r="D29" s="57" t="s">
        <v>68</v>
      </c>
      <c r="E29" s="58">
        <v>0.01</v>
      </c>
      <c r="F29" s="55">
        <f t="shared" si="5"/>
        <v>12623.76</v>
      </c>
      <c r="G29" s="59">
        <v>1275000</v>
      </c>
      <c r="H29" s="60"/>
      <c r="I29" s="59"/>
      <c r="J29" s="82"/>
      <c r="K29" s="57" t="s">
        <v>92</v>
      </c>
      <c r="L29" s="83" t="s">
        <v>93</v>
      </c>
      <c r="M29" s="83"/>
      <c r="N29" s="83"/>
      <c r="O29" s="84"/>
    </row>
    <row r="30" s="8" customFormat="1" ht="18" customHeight="1" spans="1:15">
      <c r="A30" s="54">
        <v>43831</v>
      </c>
      <c r="B30" s="55">
        <f t="shared" si="4"/>
        <v>118811.88</v>
      </c>
      <c r="C30" s="56">
        <v>2</v>
      </c>
      <c r="D30" s="57" t="s">
        <v>68</v>
      </c>
      <c r="E30" s="58">
        <v>0.01</v>
      </c>
      <c r="F30" s="55">
        <f t="shared" si="5"/>
        <v>1188.12</v>
      </c>
      <c r="G30" s="59">
        <v>120000</v>
      </c>
      <c r="H30" s="60"/>
      <c r="I30" s="59"/>
      <c r="J30" s="82"/>
      <c r="K30" s="57" t="s">
        <v>94</v>
      </c>
      <c r="L30" s="83" t="s">
        <v>95</v>
      </c>
      <c r="M30" s="83"/>
      <c r="N30" s="83"/>
      <c r="O30" s="84"/>
    </row>
    <row r="31" s="8" customFormat="1" ht="18" customHeight="1" spans="1:15">
      <c r="A31" s="54">
        <v>43831</v>
      </c>
      <c r="B31" s="55">
        <f t="shared" si="4"/>
        <v>59405.94</v>
      </c>
      <c r="C31" s="56">
        <v>1</v>
      </c>
      <c r="D31" s="57" t="s">
        <v>68</v>
      </c>
      <c r="E31" s="58">
        <v>0.01</v>
      </c>
      <c r="F31" s="55">
        <f t="shared" si="5"/>
        <v>594.06</v>
      </c>
      <c r="G31" s="59">
        <v>60000</v>
      </c>
      <c r="H31" s="60"/>
      <c r="I31" s="59"/>
      <c r="J31" s="82"/>
      <c r="K31" s="57" t="s">
        <v>94</v>
      </c>
      <c r="L31" s="83" t="s">
        <v>96</v>
      </c>
      <c r="M31" s="83"/>
      <c r="N31" s="83"/>
      <c r="O31" s="84"/>
    </row>
    <row r="32" s="8" customFormat="1" ht="18" customHeight="1" spans="1:15">
      <c r="A32" s="54">
        <v>43831</v>
      </c>
      <c r="B32" s="55">
        <f t="shared" si="4"/>
        <v>59405.94</v>
      </c>
      <c r="C32" s="56">
        <v>1</v>
      </c>
      <c r="D32" s="57" t="s">
        <v>68</v>
      </c>
      <c r="E32" s="58">
        <v>0.01</v>
      </c>
      <c r="F32" s="55">
        <f t="shared" si="5"/>
        <v>594.06</v>
      </c>
      <c r="G32" s="59">
        <v>60000</v>
      </c>
      <c r="H32" s="60"/>
      <c r="I32" s="59"/>
      <c r="J32" s="82"/>
      <c r="K32" s="57" t="s">
        <v>94</v>
      </c>
      <c r="L32" s="83" t="s">
        <v>97</v>
      </c>
      <c r="M32" s="83"/>
      <c r="N32" s="83"/>
      <c r="O32" s="84"/>
    </row>
    <row r="33" s="8" customFormat="1" ht="18" customHeight="1" spans="1:15">
      <c r="A33" s="54">
        <v>43831</v>
      </c>
      <c r="B33" s="55">
        <f t="shared" si="4"/>
        <v>346534.65</v>
      </c>
      <c r="C33" s="56">
        <v>4</v>
      </c>
      <c r="D33" s="57" t="s">
        <v>68</v>
      </c>
      <c r="E33" s="58">
        <v>0.01</v>
      </c>
      <c r="F33" s="55">
        <f t="shared" si="5"/>
        <v>3465.35</v>
      </c>
      <c r="G33" s="59">
        <v>350000</v>
      </c>
      <c r="H33" s="60"/>
      <c r="I33" s="59"/>
      <c r="J33" s="82"/>
      <c r="K33" s="57" t="s">
        <v>94</v>
      </c>
      <c r="L33" s="83" t="s">
        <v>98</v>
      </c>
      <c r="M33" s="83"/>
      <c r="N33" s="83"/>
      <c r="O33" s="84"/>
    </row>
    <row r="34" s="7" customFormat="1" ht="18" customHeight="1" spans="1:15">
      <c r="A34" s="44"/>
      <c r="B34" s="26">
        <f t="shared" si="4"/>
        <v>0</v>
      </c>
      <c r="C34" s="61"/>
      <c r="D34" s="46"/>
      <c r="E34" s="53"/>
      <c r="F34" s="26">
        <f t="shared" si="5"/>
        <v>0</v>
      </c>
      <c r="G34" s="35"/>
      <c r="H34" s="51">
        <v>44214</v>
      </c>
      <c r="I34" s="48">
        <v>327648</v>
      </c>
      <c r="J34" s="87" t="s">
        <v>38</v>
      </c>
      <c r="K34" s="46" t="s">
        <v>92</v>
      </c>
      <c r="L34" s="80"/>
      <c r="M34" s="80"/>
      <c r="N34" s="85"/>
      <c r="O34" s="50"/>
    </row>
    <row r="35" s="7" customFormat="1" ht="18" customHeight="1" spans="1:15">
      <c r="A35" s="44"/>
      <c r="B35" s="26">
        <f t="shared" si="4"/>
        <v>0</v>
      </c>
      <c r="C35" s="61"/>
      <c r="D35" s="46"/>
      <c r="E35" s="53"/>
      <c r="F35" s="26">
        <f t="shared" si="5"/>
        <v>0</v>
      </c>
      <c r="G35" s="35"/>
      <c r="H35" s="51">
        <v>44214</v>
      </c>
      <c r="I35" s="48">
        <v>656000</v>
      </c>
      <c r="J35" s="87" t="s">
        <v>66</v>
      </c>
      <c r="K35" s="46" t="s">
        <v>99</v>
      </c>
      <c r="L35" s="80"/>
      <c r="M35" s="80"/>
      <c r="N35" s="85"/>
      <c r="O35" s="50"/>
    </row>
    <row r="36" s="7" customFormat="1" ht="18" customHeight="1" spans="1:15">
      <c r="A36" s="44"/>
      <c r="B36" s="26">
        <f t="shared" si="4"/>
        <v>0</v>
      </c>
      <c r="C36" s="61"/>
      <c r="D36" s="46"/>
      <c r="E36" s="53"/>
      <c r="F36" s="26">
        <f t="shared" si="5"/>
        <v>0</v>
      </c>
      <c r="G36" s="35"/>
      <c r="H36" s="51">
        <v>44216</v>
      </c>
      <c r="I36" s="48">
        <v>120000</v>
      </c>
      <c r="J36" s="87" t="s">
        <v>38</v>
      </c>
      <c r="K36" s="46" t="s">
        <v>101</v>
      </c>
      <c r="L36" s="80"/>
      <c r="M36" s="80"/>
      <c r="N36" s="85"/>
      <c r="O36" s="50"/>
    </row>
    <row r="37" s="7" customFormat="1" ht="18" customHeight="1" spans="1:15">
      <c r="A37" s="44"/>
      <c r="B37" s="26"/>
      <c r="C37" s="61"/>
      <c r="D37" s="46"/>
      <c r="E37" s="53"/>
      <c r="F37" s="26"/>
      <c r="G37" s="35"/>
      <c r="H37" s="51">
        <v>44216</v>
      </c>
      <c r="I37" s="48">
        <v>60000</v>
      </c>
      <c r="J37" s="87" t="s">
        <v>38</v>
      </c>
      <c r="K37" s="46" t="s">
        <v>102</v>
      </c>
      <c r="L37" s="80"/>
      <c r="M37" s="80"/>
      <c r="N37" s="85"/>
      <c r="O37" s="50"/>
    </row>
    <row r="38" s="7" customFormat="1" ht="18" customHeight="1" spans="1:15">
      <c r="A38" s="44"/>
      <c r="B38" s="26"/>
      <c r="C38" s="61"/>
      <c r="D38" s="46"/>
      <c r="E38" s="53"/>
      <c r="F38" s="26"/>
      <c r="G38" s="35"/>
      <c r="H38" s="51">
        <v>44216</v>
      </c>
      <c r="I38" s="48">
        <v>350000</v>
      </c>
      <c r="J38" s="87" t="s">
        <v>38</v>
      </c>
      <c r="K38" s="46" t="s">
        <v>103</v>
      </c>
      <c r="L38" s="80"/>
      <c r="M38" s="80"/>
      <c r="N38" s="85"/>
      <c r="O38" s="50"/>
    </row>
    <row r="39" s="7" customFormat="1" ht="18" customHeight="1" spans="1:15">
      <c r="A39" s="44"/>
      <c r="B39" s="26"/>
      <c r="C39" s="61"/>
      <c r="D39" s="46"/>
      <c r="E39" s="53"/>
      <c r="F39" s="26"/>
      <c r="G39" s="35"/>
      <c r="H39" s="51">
        <v>44224</v>
      </c>
      <c r="I39" s="48">
        <v>60000</v>
      </c>
      <c r="J39" s="87" t="s">
        <v>38</v>
      </c>
      <c r="K39" s="46" t="s">
        <v>94</v>
      </c>
      <c r="L39" s="80"/>
      <c r="M39" s="80"/>
      <c r="N39" s="85"/>
      <c r="O39" s="50"/>
    </row>
    <row r="40" s="7" customFormat="1" ht="18" customHeight="1" spans="1:15">
      <c r="A40" s="44"/>
      <c r="B40" s="26"/>
      <c r="C40" s="61"/>
      <c r="D40" s="46"/>
      <c r="E40" s="53"/>
      <c r="F40" s="26"/>
      <c r="G40" s="35"/>
      <c r="H40" s="51">
        <v>44224</v>
      </c>
      <c r="I40" s="48">
        <v>170000</v>
      </c>
      <c r="J40" s="87" t="s">
        <v>66</v>
      </c>
      <c r="K40" s="46" t="s">
        <v>99</v>
      </c>
      <c r="L40" s="80"/>
      <c r="M40" s="80"/>
      <c r="N40" s="85"/>
      <c r="O40" s="50"/>
    </row>
    <row r="41" s="7" customFormat="1" ht="18" customHeight="1" spans="1:15">
      <c r="A41" s="44"/>
      <c r="B41" s="26"/>
      <c r="C41" s="61"/>
      <c r="D41" s="46"/>
      <c r="E41" s="53"/>
      <c r="F41" s="26"/>
      <c r="G41" s="35"/>
      <c r="H41" s="51"/>
      <c r="I41" s="88"/>
      <c r="J41" s="87"/>
      <c r="K41" s="46"/>
      <c r="L41" s="80"/>
      <c r="M41" s="80"/>
      <c r="N41" s="85"/>
      <c r="O41" s="50"/>
    </row>
    <row r="42" s="7" customFormat="1" ht="18" customHeight="1" spans="1:15">
      <c r="A42" s="44"/>
      <c r="B42" s="26"/>
      <c r="C42" s="61"/>
      <c r="D42" s="46"/>
      <c r="E42" s="53"/>
      <c r="F42" s="26"/>
      <c r="G42" s="35"/>
      <c r="H42" s="51"/>
      <c r="I42" s="88"/>
      <c r="J42" s="87"/>
      <c r="K42" s="46"/>
      <c r="L42" s="80"/>
      <c r="M42" s="80"/>
      <c r="N42" s="85"/>
      <c r="O42" s="50"/>
    </row>
    <row r="43" s="7" customFormat="1" ht="18" customHeight="1" spans="1:15">
      <c r="A43" s="44"/>
      <c r="B43" s="26"/>
      <c r="C43" s="61"/>
      <c r="D43" s="46"/>
      <c r="E43" s="53"/>
      <c r="F43" s="26"/>
      <c r="G43" s="35"/>
      <c r="H43" s="51"/>
      <c r="I43" s="88"/>
      <c r="J43" s="87"/>
      <c r="K43" s="46"/>
      <c r="L43" s="80"/>
      <c r="M43" s="80"/>
      <c r="N43" s="85"/>
      <c r="O43" s="50"/>
    </row>
    <row r="44" s="7" customFormat="1" ht="18" customHeight="1" spans="1:15">
      <c r="A44" s="44"/>
      <c r="B44" s="26"/>
      <c r="C44" s="61"/>
      <c r="D44" s="46"/>
      <c r="E44" s="53"/>
      <c r="F44" s="26"/>
      <c r="G44" s="35"/>
      <c r="H44" s="51"/>
      <c r="I44" s="88"/>
      <c r="J44" s="87"/>
      <c r="K44" s="46"/>
      <c r="L44" s="80"/>
      <c r="M44" s="80"/>
      <c r="N44" s="85"/>
      <c r="O44" s="50"/>
    </row>
    <row r="45" s="7" customFormat="1" ht="18" customHeight="1" spans="1:15">
      <c r="A45" s="44"/>
      <c r="B45" s="26"/>
      <c r="C45" s="61"/>
      <c r="D45" s="46"/>
      <c r="E45" s="53"/>
      <c r="F45" s="26"/>
      <c r="G45" s="35"/>
      <c r="H45" s="51"/>
      <c r="I45" s="88"/>
      <c r="J45" s="87"/>
      <c r="K45" s="46"/>
      <c r="L45" s="80"/>
      <c r="M45" s="80"/>
      <c r="N45" s="85"/>
      <c r="O45" s="50"/>
    </row>
    <row r="46" s="7" customFormat="1" ht="18" customHeight="1" spans="1:15">
      <c r="A46" s="44"/>
      <c r="B46" s="26"/>
      <c r="C46" s="61"/>
      <c r="D46" s="46"/>
      <c r="E46" s="53"/>
      <c r="F46" s="26"/>
      <c r="G46" s="35"/>
      <c r="H46" s="51">
        <v>44224</v>
      </c>
      <c r="I46" s="88">
        <v>50</v>
      </c>
      <c r="J46" s="87" t="s">
        <v>41</v>
      </c>
      <c r="K46" s="46" t="s">
        <v>86</v>
      </c>
      <c r="L46" s="80"/>
      <c r="M46" s="80"/>
      <c r="N46" s="85"/>
      <c r="O46" s="50"/>
    </row>
    <row r="47" s="7" customFormat="1" ht="18" customHeight="1" spans="1:15">
      <c r="A47" s="44"/>
      <c r="B47" s="35">
        <v>1920</v>
      </c>
      <c r="C47" s="61"/>
      <c r="D47" s="46"/>
      <c r="E47" s="53"/>
      <c r="F47" s="26"/>
      <c r="G47" s="35">
        <v>1920</v>
      </c>
      <c r="H47" s="51">
        <v>44224</v>
      </c>
      <c r="I47" s="88">
        <v>1920</v>
      </c>
      <c r="J47" s="87" t="s">
        <v>41</v>
      </c>
      <c r="K47" s="46" t="s">
        <v>74</v>
      </c>
      <c r="L47" s="80"/>
      <c r="M47" s="80"/>
      <c r="N47" s="85"/>
      <c r="O47" s="50"/>
    </row>
    <row r="48" s="7" customFormat="1" ht="18" customHeight="1" spans="1:15">
      <c r="A48" s="44"/>
      <c r="B48" s="26">
        <f t="shared" ref="B48:B53" si="6">ROUND(G48/(1+E48),2)</f>
        <v>0</v>
      </c>
      <c r="C48" s="61"/>
      <c r="D48" s="46"/>
      <c r="E48" s="53"/>
      <c r="F48" s="26">
        <f t="shared" ref="F48:F50" si="7">ROUND(G48/(1+E48)*E48,2)</f>
        <v>0</v>
      </c>
      <c r="G48" s="35"/>
      <c r="H48" s="51">
        <v>44216</v>
      </c>
      <c r="I48" s="88">
        <v>250</v>
      </c>
      <c r="J48" s="87" t="s">
        <v>41</v>
      </c>
      <c r="K48" s="46" t="s">
        <v>86</v>
      </c>
      <c r="L48" s="80"/>
      <c r="M48" s="80"/>
      <c r="N48" s="85"/>
      <c r="O48" s="50"/>
    </row>
    <row r="49" s="7" customFormat="1" ht="18" customHeight="1" spans="1:15">
      <c r="A49" s="44"/>
      <c r="B49" s="26">
        <f t="shared" si="6"/>
        <v>0</v>
      </c>
      <c r="C49" s="61"/>
      <c r="D49" s="46"/>
      <c r="E49" s="53"/>
      <c r="F49" s="26">
        <f t="shared" si="7"/>
        <v>0</v>
      </c>
      <c r="G49" s="35"/>
      <c r="H49" s="51">
        <v>44214</v>
      </c>
      <c r="I49" s="88">
        <v>-166744</v>
      </c>
      <c r="J49" s="87" t="s">
        <v>87</v>
      </c>
      <c r="K49" s="46" t="s">
        <v>100</v>
      </c>
      <c r="L49" s="80"/>
      <c r="M49" s="80"/>
      <c r="N49" s="85"/>
      <c r="O49" s="50"/>
    </row>
    <row r="50" s="7" customFormat="1" ht="18" customHeight="1" spans="1:15">
      <c r="A50" s="44"/>
      <c r="B50" s="26">
        <f t="shared" si="6"/>
        <v>0</v>
      </c>
      <c r="C50" s="61"/>
      <c r="D50" s="46"/>
      <c r="E50" s="53"/>
      <c r="F50" s="26">
        <f t="shared" si="7"/>
        <v>0</v>
      </c>
      <c r="G50" s="35"/>
      <c r="H50" s="51">
        <v>44214</v>
      </c>
      <c r="I50" s="88">
        <v>200</v>
      </c>
      <c r="J50" s="87" t="s">
        <v>41</v>
      </c>
      <c r="K50" s="46" t="s">
        <v>86</v>
      </c>
      <c r="L50" s="80"/>
      <c r="M50" s="80"/>
      <c r="N50" s="85"/>
      <c r="O50" s="50"/>
    </row>
    <row r="51" s="7" customFormat="1" ht="18" customHeight="1" spans="1:15">
      <c r="A51" s="44"/>
      <c r="B51" s="26">
        <f t="shared" si="6"/>
        <v>0</v>
      </c>
      <c r="C51" s="61"/>
      <c r="D51" s="46"/>
      <c r="E51" s="53"/>
      <c r="F51" s="26"/>
      <c r="G51" s="35"/>
      <c r="H51" s="51" t="s">
        <v>85</v>
      </c>
      <c r="I51" s="88">
        <v>100</v>
      </c>
      <c r="J51" s="87" t="s">
        <v>41</v>
      </c>
      <c r="K51" s="46" t="s">
        <v>86</v>
      </c>
      <c r="L51" s="80"/>
      <c r="M51" s="80"/>
      <c r="N51" s="85"/>
      <c r="O51" s="50"/>
    </row>
    <row r="52" s="7" customFormat="1" ht="18" customHeight="1" spans="1:15">
      <c r="A52" s="44"/>
      <c r="B52" s="26">
        <f t="shared" si="6"/>
        <v>17000</v>
      </c>
      <c r="C52" s="61"/>
      <c r="D52" s="46"/>
      <c r="E52" s="53"/>
      <c r="F52" s="26"/>
      <c r="G52" s="35">
        <v>17000</v>
      </c>
      <c r="H52" s="51">
        <v>44195</v>
      </c>
      <c r="I52" s="88">
        <v>17000</v>
      </c>
      <c r="J52" s="87" t="s">
        <v>41</v>
      </c>
      <c r="K52" s="46" t="s">
        <v>74</v>
      </c>
      <c r="L52" s="80"/>
      <c r="M52" s="80"/>
      <c r="N52" s="85"/>
      <c r="O52" s="50"/>
    </row>
    <row r="53" s="7" customFormat="1" ht="18" customHeight="1" spans="1:15">
      <c r="A53" s="44"/>
      <c r="B53" s="26">
        <f t="shared" si="6"/>
        <v>0</v>
      </c>
      <c r="C53" s="61"/>
      <c r="D53" s="46"/>
      <c r="E53" s="53"/>
      <c r="F53" s="26"/>
      <c r="G53" s="35"/>
      <c r="H53" s="51" t="s">
        <v>85</v>
      </c>
      <c r="I53" s="88">
        <v>-215938</v>
      </c>
      <c r="J53" s="87" t="s">
        <v>87</v>
      </c>
      <c r="K53" s="46" t="s">
        <v>88</v>
      </c>
      <c r="L53" s="80"/>
      <c r="M53" s="80"/>
      <c r="N53" s="85"/>
      <c r="O53" s="50"/>
    </row>
    <row r="54" s="7" customFormat="1" ht="18" customHeight="1" spans="1:15">
      <c r="A54" s="44"/>
      <c r="B54" s="26"/>
      <c r="C54" s="61"/>
      <c r="D54" s="46"/>
      <c r="E54" s="53"/>
      <c r="F54" s="26"/>
      <c r="G54" s="35"/>
      <c r="H54" s="51">
        <v>44190</v>
      </c>
      <c r="I54" s="89">
        <f>-(I55+I56+I60+I61)</f>
        <v>-112339</v>
      </c>
      <c r="J54" s="87" t="s">
        <v>89</v>
      </c>
      <c r="K54" s="46" t="s">
        <v>90</v>
      </c>
      <c r="L54" s="80"/>
      <c r="M54" s="80"/>
      <c r="N54" s="85"/>
      <c r="O54" s="50"/>
    </row>
    <row r="55" s="7" customFormat="1" ht="18" customHeight="1" spans="1:15">
      <c r="A55" s="44"/>
      <c r="B55" s="26">
        <f t="shared" ref="B55:B61" si="8">ROUND(G55/(1+E55),2)</f>
        <v>65600</v>
      </c>
      <c r="C55" s="61"/>
      <c r="D55" s="46"/>
      <c r="E55" s="53"/>
      <c r="F55" s="26"/>
      <c r="G55" s="35">
        <v>65600</v>
      </c>
      <c r="H55" s="51">
        <v>44190</v>
      </c>
      <c r="I55" s="88">
        <v>65600</v>
      </c>
      <c r="J55" s="87" t="s">
        <v>41</v>
      </c>
      <c r="K55" s="46" t="s">
        <v>74</v>
      </c>
      <c r="L55" s="80"/>
      <c r="M55" s="80"/>
      <c r="N55" s="85"/>
      <c r="O55" s="50"/>
    </row>
    <row r="56" s="7" customFormat="1" ht="18" customHeight="1" spans="1:15">
      <c r="A56" s="63"/>
      <c r="B56" s="26">
        <f t="shared" si="8"/>
        <v>0</v>
      </c>
      <c r="C56" s="61"/>
      <c r="D56" s="46"/>
      <c r="E56" s="47"/>
      <c r="F56" s="26">
        <f t="shared" ref="F56:F61" si="9">ROUND(G56/(1+E56)*E56,2)</f>
        <v>0</v>
      </c>
      <c r="G56" s="35"/>
      <c r="H56" s="51">
        <v>44190</v>
      </c>
      <c r="I56" s="88">
        <v>1900</v>
      </c>
      <c r="J56" s="87" t="s">
        <v>41</v>
      </c>
      <c r="K56" s="46" t="s">
        <v>75</v>
      </c>
      <c r="L56" s="80"/>
      <c r="M56" s="80"/>
      <c r="N56" s="85"/>
      <c r="O56" s="50"/>
    </row>
    <row r="57" s="7" customFormat="1" ht="18" customHeight="1" spans="1:15">
      <c r="A57" s="63"/>
      <c r="B57" s="26">
        <f t="shared" si="8"/>
        <v>0</v>
      </c>
      <c r="C57" s="61"/>
      <c r="D57" s="46"/>
      <c r="E57" s="47"/>
      <c r="F57" s="26">
        <f t="shared" si="9"/>
        <v>0</v>
      </c>
      <c r="G57" s="35"/>
      <c r="H57" s="51">
        <v>44190</v>
      </c>
      <c r="I57" s="88">
        <v>450</v>
      </c>
      <c r="J57" s="87" t="s">
        <v>41</v>
      </c>
      <c r="K57" s="46" t="s">
        <v>42</v>
      </c>
      <c r="L57" s="80"/>
      <c r="M57" s="85"/>
      <c r="N57" s="85"/>
      <c r="O57" s="50"/>
    </row>
    <row r="58" s="7" customFormat="1" ht="18" customHeight="1" spans="1:15">
      <c r="A58" s="63"/>
      <c r="B58" s="26">
        <f t="shared" si="8"/>
        <v>0</v>
      </c>
      <c r="C58" s="61"/>
      <c r="D58" s="46"/>
      <c r="E58" s="47"/>
      <c r="F58" s="26">
        <f t="shared" si="9"/>
        <v>0</v>
      </c>
      <c r="G58" s="35"/>
      <c r="H58" s="51">
        <v>44190</v>
      </c>
      <c r="I58" s="48">
        <v>20000</v>
      </c>
      <c r="J58" s="87" t="s">
        <v>41</v>
      </c>
      <c r="K58" s="46" t="s">
        <v>76</v>
      </c>
      <c r="L58" s="80"/>
      <c r="M58" s="85"/>
      <c r="N58" s="85"/>
      <c r="O58" s="50"/>
    </row>
    <row r="59" s="7" customFormat="1" ht="18" customHeight="1" spans="1:15">
      <c r="A59" s="63"/>
      <c r="B59" s="26">
        <f t="shared" si="8"/>
        <v>0</v>
      </c>
      <c r="C59" s="61"/>
      <c r="D59" s="46"/>
      <c r="E59" s="47"/>
      <c r="F59" s="26">
        <f t="shared" si="9"/>
        <v>0</v>
      </c>
      <c r="G59" s="35"/>
      <c r="H59" s="51">
        <v>44190</v>
      </c>
      <c r="I59" s="88">
        <v>382682</v>
      </c>
      <c r="J59" s="87" t="s">
        <v>77</v>
      </c>
      <c r="K59" s="46" t="s">
        <v>78</v>
      </c>
      <c r="L59" s="80"/>
      <c r="M59" s="85"/>
      <c r="N59" s="85"/>
      <c r="O59" s="50"/>
    </row>
    <row r="60" s="7" customFormat="1" ht="18" customHeight="1" spans="1:15">
      <c r="A60" s="63"/>
      <c r="B60" s="26">
        <f t="shared" si="8"/>
        <v>0</v>
      </c>
      <c r="C60" s="61"/>
      <c r="D60" s="46"/>
      <c r="E60" s="47"/>
      <c r="F60" s="26">
        <f t="shared" si="9"/>
        <v>0</v>
      </c>
      <c r="G60" s="35"/>
      <c r="H60" s="51">
        <v>44190</v>
      </c>
      <c r="I60" s="88">
        <v>42500</v>
      </c>
      <c r="J60" s="87" t="s">
        <v>41</v>
      </c>
      <c r="K60" s="46" t="s">
        <v>79</v>
      </c>
      <c r="L60" s="80"/>
      <c r="M60" s="85"/>
      <c r="N60" s="85"/>
      <c r="O60" s="50"/>
    </row>
    <row r="61" s="7" customFormat="1" ht="18" customHeight="1" spans="1:15">
      <c r="A61" s="63"/>
      <c r="B61" s="26">
        <f t="shared" si="8"/>
        <v>0</v>
      </c>
      <c r="C61" s="61"/>
      <c r="D61" s="46"/>
      <c r="E61" s="47"/>
      <c r="F61" s="26">
        <f t="shared" si="9"/>
        <v>0</v>
      </c>
      <c r="G61" s="35"/>
      <c r="H61" s="51">
        <v>44190</v>
      </c>
      <c r="I61" s="88">
        <v>2339</v>
      </c>
      <c r="J61" s="87" t="s">
        <v>41</v>
      </c>
      <c r="K61" s="46" t="s">
        <v>80</v>
      </c>
      <c r="L61" s="80"/>
      <c r="M61" s="85"/>
      <c r="N61" s="85"/>
      <c r="O61" s="50"/>
    </row>
    <row r="62" ht="18" customHeight="1" spans="1:15">
      <c r="A62" s="64" t="s">
        <v>21</v>
      </c>
      <c r="B62" s="42">
        <f>SUM(B17:B61)</f>
        <v>5007196.51</v>
      </c>
      <c r="C62" s="64"/>
      <c r="D62" s="65"/>
      <c r="E62" s="65"/>
      <c r="F62" s="66">
        <f>SUM(F17:F61)</f>
        <v>345294.49</v>
      </c>
      <c r="G62" s="67">
        <f>SUM(G17:G61)</f>
        <v>5352491</v>
      </c>
      <c r="H62" s="68"/>
      <c r="I62" s="90">
        <f>SUM(I17:I61)</f>
        <v>4161589</v>
      </c>
      <c r="J62" s="91" t="s">
        <v>41</v>
      </c>
      <c r="K62" s="92" t="s">
        <v>42</v>
      </c>
      <c r="L62" s="77"/>
      <c r="M62" s="77"/>
      <c r="N62" s="77"/>
      <c r="O62" s="93"/>
    </row>
    <row r="63" ht="18" customHeight="1" spans="1:14">
      <c r="A63" s="69" t="s">
        <v>43</v>
      </c>
      <c r="B63" s="70">
        <f>B14*0.96</f>
        <v>3743119.26605505</v>
      </c>
      <c r="C63" s="69"/>
      <c r="D63" s="71"/>
      <c r="E63" s="71"/>
      <c r="F63" s="70"/>
      <c r="G63" s="72">
        <f>G14-G62</f>
        <v>-1102491</v>
      </c>
      <c r="H63" s="30" t="s">
        <v>44</v>
      </c>
      <c r="I63" s="29">
        <f>I14-I62</f>
        <v>64411</v>
      </c>
      <c r="J63" s="14"/>
      <c r="K63" s="94"/>
      <c r="M63" s="14"/>
      <c r="N63" s="14"/>
    </row>
    <row r="64" ht="18" customHeight="1" spans="1:14">
      <c r="A64" s="69" t="s">
        <v>45</v>
      </c>
      <c r="B64" s="70">
        <f>B63-B62</f>
        <v>-1264077.24394495</v>
      </c>
      <c r="C64" s="69"/>
      <c r="D64" s="71"/>
      <c r="E64" s="71"/>
      <c r="F64" s="70"/>
      <c r="G64" s="72"/>
      <c r="H64" s="73"/>
      <c r="I64" s="72"/>
      <c r="J64" s="14"/>
      <c r="K64" s="94"/>
      <c r="M64" s="14"/>
      <c r="N64" s="14"/>
    </row>
    <row r="65" ht="18" customHeight="1" spans="1:3">
      <c r="A65" s="9" t="s">
        <v>46</v>
      </c>
      <c r="C65" s="9"/>
    </row>
    <row r="66" ht="18" customHeight="1" spans="1:8">
      <c r="A66" s="30" t="s">
        <v>47</v>
      </c>
      <c r="B66" s="29" t="s">
        <v>48</v>
      </c>
      <c r="C66" s="93"/>
      <c r="D66" s="30" t="s">
        <v>47</v>
      </c>
      <c r="E66" s="28" t="s">
        <v>16</v>
      </c>
      <c r="F66" s="67" t="s">
        <v>48</v>
      </c>
      <c r="G66" s="24" t="s">
        <v>81</v>
      </c>
      <c r="H66" s="20" t="s">
        <v>91</v>
      </c>
    </row>
    <row r="67" ht="18" customHeight="1" spans="1:8">
      <c r="A67" s="93" t="s">
        <v>49</v>
      </c>
      <c r="B67" s="26">
        <f>(B63-B62)*0.25</f>
        <v>-316019.310986238</v>
      </c>
      <c r="C67" s="93"/>
      <c r="D67" s="41" t="s">
        <v>50</v>
      </c>
      <c r="E67" s="30" t="s">
        <v>51</v>
      </c>
      <c r="F67" s="95">
        <f>F14-F62</f>
        <v>-72358.710183486</v>
      </c>
      <c r="G67" s="96">
        <f>F7-F23</f>
        <v>-14674.840183486</v>
      </c>
      <c r="H67" s="20"/>
    </row>
    <row r="68" ht="18" customHeight="1" spans="1:8">
      <c r="A68" s="93" t="s">
        <v>52</v>
      </c>
      <c r="B68" s="97"/>
      <c r="C68" s="93"/>
      <c r="D68" s="98" t="s">
        <v>53</v>
      </c>
      <c r="E68" s="22">
        <v>0.07</v>
      </c>
      <c r="F68" s="99">
        <f>F67*E68</f>
        <v>-5065.10971284402</v>
      </c>
      <c r="G68" s="96">
        <f>G67*E68</f>
        <v>-1027.23881284402</v>
      </c>
      <c r="H68" s="20"/>
    </row>
    <row r="69" ht="18" customHeight="1" spans="1:8">
      <c r="A69" s="93" t="s">
        <v>54</v>
      </c>
      <c r="B69" s="97"/>
      <c r="C69" s="93"/>
      <c r="D69" s="98" t="s">
        <v>55</v>
      </c>
      <c r="E69" s="22">
        <v>0.03</v>
      </c>
      <c r="F69" s="99">
        <f>F67*E69</f>
        <v>-2170.76130550458</v>
      </c>
      <c r="G69" s="96">
        <f>G67*E69</f>
        <v>-440.24520550458</v>
      </c>
      <c r="H69" s="20"/>
    </row>
    <row r="70" ht="18" customHeight="1" spans="1:11">
      <c r="A70" s="93"/>
      <c r="B70" s="37"/>
      <c r="C70" s="93"/>
      <c r="D70" s="98" t="s">
        <v>56</v>
      </c>
      <c r="E70" s="22">
        <v>0.02</v>
      </c>
      <c r="F70" s="99">
        <f>F67*E70</f>
        <v>-1447.17420366972</v>
      </c>
      <c r="G70" s="96">
        <f>G67*E70</f>
        <v>-293.49680366972</v>
      </c>
      <c r="H70" s="20"/>
      <c r="J70" s="13" t="s">
        <v>82</v>
      </c>
      <c r="K70" s="14" t="s">
        <v>104</v>
      </c>
    </row>
    <row r="71" ht="18" customHeight="1" spans="1:8">
      <c r="A71" s="41" t="s">
        <v>57</v>
      </c>
      <c r="B71" s="42">
        <f>SUM(B67:B70)</f>
        <v>-316019.310986238</v>
      </c>
      <c r="C71" s="93"/>
      <c r="D71" s="43" t="s">
        <v>57</v>
      </c>
      <c r="E71" s="41"/>
      <c r="F71" s="95">
        <f>SUM(F67:F70)</f>
        <v>-81041.7554055043</v>
      </c>
      <c r="G71" s="96">
        <v>0</v>
      </c>
      <c r="H71" s="20"/>
    </row>
    <row r="72" ht="18" customHeight="1" spans="3:8">
      <c r="C72" s="9"/>
      <c r="D72" s="20" t="s">
        <v>52</v>
      </c>
      <c r="E72" s="100">
        <v>0.0003</v>
      </c>
      <c r="F72" s="99">
        <f>G14*E72</f>
        <v>1275</v>
      </c>
      <c r="G72" s="96">
        <v>0</v>
      </c>
      <c r="H72" s="20"/>
    </row>
    <row r="73" ht="18" customHeight="1" spans="3:8">
      <c r="C73" s="9"/>
      <c r="D73" s="20" t="s">
        <v>54</v>
      </c>
      <c r="E73" s="100">
        <v>0.0006</v>
      </c>
      <c r="F73" s="99">
        <f>B14*E73</f>
        <v>2339.4495412844</v>
      </c>
      <c r="G73" s="96">
        <f>E73*B7</f>
        <v>2339.4495412844</v>
      </c>
      <c r="H73" s="20"/>
    </row>
    <row r="74" ht="18" customHeight="1" spans="3:8">
      <c r="C74" s="9"/>
      <c r="D74" s="101" t="s">
        <v>57</v>
      </c>
      <c r="E74" s="102"/>
      <c r="F74" s="103">
        <f>F73+F72</f>
        <v>3614.4495412844</v>
      </c>
      <c r="G74" s="104">
        <f>G71+G72+G73</f>
        <v>2339.4495412844</v>
      </c>
      <c r="H74" s="20"/>
    </row>
    <row r="75" ht="18" customHeight="1" spans="3:8">
      <c r="C75" s="9"/>
      <c r="D75" s="28" t="s">
        <v>21</v>
      </c>
      <c r="E75" s="64"/>
      <c r="F75" s="105">
        <f>F71+F74</f>
        <v>-77427.3058642199</v>
      </c>
      <c r="G75" s="96"/>
      <c r="H75" s="20"/>
    </row>
    <row r="76" ht="18" customHeight="1" spans="3:8">
      <c r="C76" s="9"/>
      <c r="D76" s="106" t="s">
        <v>83</v>
      </c>
      <c r="E76" s="102">
        <v>0.01</v>
      </c>
      <c r="F76" s="103"/>
      <c r="G76" s="104">
        <f>E76*G7</f>
        <v>42500</v>
      </c>
      <c r="H76" s="20"/>
    </row>
    <row r="77" ht="18" customHeight="1" spans="3:8">
      <c r="C77" s="9"/>
      <c r="D77" s="107" t="s">
        <v>84</v>
      </c>
      <c r="E77" s="107"/>
      <c r="F77" s="108"/>
      <c r="G77" s="104">
        <f>1530729.89*0.25</f>
        <v>382682.4725</v>
      </c>
      <c r="H77" s="109">
        <v>215937.648486238</v>
      </c>
    </row>
    <row r="78" ht="18" customHeight="1" spans="3:3">
      <c r="C78" s="9"/>
    </row>
    <row r="79" ht="18" customHeight="1" spans="3:3">
      <c r="C79" s="9"/>
    </row>
    <row r="80" spans="3:3">
      <c r="C80" s="9"/>
    </row>
    <row r="81" spans="3:3">
      <c r="C81" s="9"/>
    </row>
    <row r="82" spans="3:3">
      <c r="C82" s="9"/>
    </row>
    <row r="83" spans="3:3">
      <c r="C83" s="9"/>
    </row>
    <row r="84" spans="3:3">
      <c r="C84" s="9"/>
    </row>
    <row r="85" spans="3:3">
      <c r="C85" s="9"/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  <row r="92" spans="3:3">
      <c r="C92" s="9"/>
    </row>
    <row r="93" spans="3:3">
      <c r="C93" s="9"/>
    </row>
    <row r="94" spans="3:3">
      <c r="C94" s="9"/>
    </row>
    <row r="95" spans="3:3">
      <c r="C95" s="9"/>
    </row>
  </sheetData>
  <autoFilter ref="A16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14" sqref="G14"/>
    </sheetView>
  </sheetViews>
  <sheetFormatPr defaultColWidth="9" defaultRowHeight="13.5" outlineLevelRow="4" outlineLevelCol="6"/>
  <cols>
    <col min="1" max="1" width="11.625" style="2" customWidth="1"/>
    <col min="2" max="7" width="15.625" style="2" customWidth="1"/>
    <col min="8" max="8" width="15.625" customWidth="1"/>
  </cols>
  <sheetData>
    <row r="1" ht="23" customHeight="1" spans="1:7">
      <c r="A1" s="3" t="s">
        <v>105</v>
      </c>
      <c r="B1" s="3"/>
      <c r="C1" s="3"/>
      <c r="D1" s="3"/>
      <c r="E1" s="3"/>
      <c r="F1" s="3"/>
      <c r="G1" s="3"/>
    </row>
    <row r="2" ht="28" customHeight="1" spans="1:7">
      <c r="A2" s="4"/>
      <c r="B2" s="4" t="s">
        <v>74</v>
      </c>
      <c r="C2" s="4" t="s">
        <v>106</v>
      </c>
      <c r="D2" s="4" t="s">
        <v>86</v>
      </c>
      <c r="E2" s="4" t="s">
        <v>107</v>
      </c>
      <c r="F2" s="4" t="s">
        <v>108</v>
      </c>
      <c r="G2" s="4" t="s">
        <v>57</v>
      </c>
    </row>
    <row r="3" ht="29" customHeight="1" spans="1:7">
      <c r="A3" s="4" t="s">
        <v>109</v>
      </c>
      <c r="B3" s="4">
        <v>84520</v>
      </c>
      <c r="C3" s="4">
        <v>44839</v>
      </c>
      <c r="D3" s="4">
        <v>1450</v>
      </c>
      <c r="E3" s="4">
        <v>500</v>
      </c>
      <c r="F3" s="4">
        <v>1000</v>
      </c>
      <c r="G3" s="4">
        <f>SUM(B3:F3)</f>
        <v>132309</v>
      </c>
    </row>
    <row r="4" ht="32" customHeight="1" spans="1:7">
      <c r="A4" s="4" t="s">
        <v>110</v>
      </c>
      <c r="B4" s="4">
        <v>65600</v>
      </c>
      <c r="C4" s="4">
        <v>44839</v>
      </c>
      <c r="D4" s="4">
        <v>400</v>
      </c>
      <c r="E4" s="4">
        <v>500</v>
      </c>
      <c r="F4" s="4">
        <v>1000</v>
      </c>
      <c r="G4" s="4">
        <v>112339</v>
      </c>
    </row>
    <row r="5" s="1" customFormat="1" ht="39" customHeight="1" spans="1:7">
      <c r="A5" s="5" t="s">
        <v>111</v>
      </c>
      <c r="B5" s="5">
        <f>B3-B4</f>
        <v>18920</v>
      </c>
      <c r="C5" s="5">
        <v>0</v>
      </c>
      <c r="D5" s="5">
        <f>D3-D4</f>
        <v>1050</v>
      </c>
      <c r="E5" s="5">
        <v>0</v>
      </c>
      <c r="F5" s="5">
        <v>0</v>
      </c>
      <c r="G5" s="6">
        <f>G3-G4</f>
        <v>19970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1次 </vt:lpstr>
      <vt:lpstr>2次</vt:lpstr>
      <vt:lpstr>4次</vt:lpstr>
      <vt:lpstr>5次</vt:lpstr>
      <vt:lpstr>5.1</vt:lpstr>
      <vt:lpstr>5.2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2021-04-23T07:11:11Z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72ED4D30AD394CA4B76CCC52829C7942</vt:lpwstr>
  </property>
</Properties>
</file>