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1次 " sheetId="1" r:id="rId1"/>
    <sheet name="2次" sheetId="2" r:id="rId2"/>
    <sheet name="3次" sheetId="3" r:id="rId3"/>
    <sheet name="4次" sheetId="4" r:id="rId4"/>
    <sheet name="4.1" sheetId="5" r:id="rId5"/>
    <sheet name="4.1 (2)" sheetId="6" r:id="rId6"/>
  </sheets>
  <definedNames>
    <definedName name="_xlnm._FilterDatabase" localSheetId="3" hidden="1">'4次'!$A$13:$O$21</definedName>
    <definedName name="_xlnm._FilterDatabase" localSheetId="4" hidden="1">'4.1'!$A$15:$O$60</definedName>
    <definedName name="_xlnm._FilterDatabase" localSheetId="5" hidden="1">'4.1 (2)'!$A$15:$O$66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cw015</author>
    <author>cw05</author>
  </authors>
  <commentList>
    <comment ref="G1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票已开出 在途中11.19</t>
        </r>
      </text>
    </comment>
    <comment ref="A3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cw015</author>
    <author>cw05</author>
  </authors>
  <commentList>
    <comment ref="G1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票已开出 在途中11.19</t>
        </r>
      </text>
    </comment>
    <comment ref="A3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cw015</author>
    <author>cw05</author>
  </authors>
  <commentList>
    <comment ref="G1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票已开出 在途中11.19</t>
        </r>
      </text>
    </comment>
    <comment ref="A4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5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公式见3次中</t>
        </r>
      </text>
    </comment>
  </commentList>
</comments>
</file>

<file path=xl/comments5.xml><?xml version="1.0" encoding="utf-8"?>
<comments xmlns="http://schemas.openxmlformats.org/spreadsheetml/2006/main">
  <authors>
    <author>cw015</author>
    <author>cw05</author>
  </authors>
  <commentList>
    <comment ref="G2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票已开出 在途中11.19</t>
        </r>
      </text>
    </comment>
    <comment ref="A5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6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公式见3次中</t>
        </r>
      </text>
    </comment>
  </commentList>
</comments>
</file>

<file path=xl/comments6.xml><?xml version="1.0" encoding="utf-8"?>
<comments xmlns="http://schemas.openxmlformats.org/spreadsheetml/2006/main">
  <authors>
    <author>cw015</author>
    <author>cw05</author>
  </authors>
  <commentList>
    <comment ref="G2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票已开出 在途中11.19</t>
        </r>
      </text>
    </comment>
    <comment ref="G26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合作人发票原件丢了 网上查验属实  打印作记账凭证</t>
        </r>
      </text>
    </comment>
    <comment ref="A5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66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公式见3次中</t>
        </r>
      </text>
    </comment>
  </commentList>
</comments>
</file>

<file path=xl/sharedStrings.xml><?xml version="1.0" encoding="utf-8"?>
<sst xmlns="http://schemas.openxmlformats.org/spreadsheetml/2006/main" count="656" uniqueCount="88">
  <si>
    <t>12740融水苗族自治县 2020 年农村公路安全生命防护工程施工招标№06标段</t>
  </si>
  <si>
    <t>中标日期</t>
  </si>
  <si>
    <t>中标价</t>
  </si>
  <si>
    <t>负责人</t>
  </si>
  <si>
    <t>邓云琪13471032251</t>
  </si>
  <si>
    <t>建设单位</t>
  </si>
  <si>
    <t xml:space="preserve">融水苗族自治县农村公路建设工作领导小组办公室
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</si>
  <si>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</si>
  <si>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</si>
  <si>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</si>
  <si>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</si>
  <si>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</si>
  <si>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</si>
  <si>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</si>
  <si>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</si>
  <si>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</si>
  <si>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</si>
  <si>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</si>
  <si>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</si>
  <si>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</si>
  <si>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</si>
  <si>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</si>
  <si>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</si>
  <si>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</si>
  <si>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</si>
  <si>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</si>
  <si>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</si>
  <si>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</si>
  <si>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</si>
  <si>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</si>
  <si>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</si>
  <si>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</si>
  <si>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</si>
  <si>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</si>
  <si>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</si>
  <si>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</si>
  <si>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叶绍锋</t>
  </si>
  <si>
    <t>周转金</t>
  </si>
  <si>
    <t>中行</t>
  </si>
  <si>
    <t>安徽拓创交通设施有限公司</t>
  </si>
  <si>
    <t>(波形护栏)</t>
  </si>
  <si>
    <t>扣</t>
  </si>
  <si>
    <t>手续费下次付款补扣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</si>
  <si>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</si>
  <si>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</si>
  <si>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</si>
  <si>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</si>
  <si>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</si>
  <si>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</si>
  <si>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</si>
  <si>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</si>
  <si>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</si>
  <si>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</si>
  <si>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</si>
  <si>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</si>
  <si>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</si>
  <si>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</si>
  <si>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</si>
  <si>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r>
      <rPr>
        <sz val="9"/>
        <color rgb="FF333333"/>
        <rFont val="宋体"/>
        <charset val="134"/>
      </rPr>
      <t>邓云琪</t>
    </r>
    <r>
      <rPr>
        <sz val="9"/>
        <color rgb="FF333333"/>
        <rFont val="ˎ̥"/>
        <charset val="134"/>
      </rPr>
      <t>13471032251(</t>
    </r>
    <r>
      <rPr>
        <sz val="9"/>
        <color rgb="FF333333"/>
        <rFont val="宋体"/>
        <charset val="134"/>
      </rPr>
      <t>叶绍烽）</t>
    </r>
  </si>
  <si>
    <t>2020.11.19</t>
  </si>
  <si>
    <t>专</t>
  </si>
  <si>
    <t>暂扣企税</t>
  </si>
  <si>
    <t>企税0.01</t>
  </si>
  <si>
    <t>20.11开票预交</t>
  </si>
  <si>
    <t>手续费</t>
  </si>
  <si>
    <t>王童-办理农民工专户开户</t>
  </si>
  <si>
    <t>管理费0.02</t>
  </si>
  <si>
    <t>专户</t>
  </si>
  <si>
    <t>普代</t>
  </si>
  <si>
    <t>叶绍红</t>
  </si>
  <si>
    <t>机械费</t>
  </si>
  <si>
    <t>南宁市桂汉建筑劳务分包有限公司</t>
  </si>
  <si>
    <t>劳务</t>
  </si>
  <si>
    <t>外管证</t>
  </si>
  <si>
    <t>普</t>
  </si>
  <si>
    <t>工资表</t>
  </si>
  <si>
    <t>（机械）</t>
  </si>
  <si>
    <t>管理费0.02   12.17到账</t>
  </si>
  <si>
    <t>退暂扣</t>
  </si>
  <si>
    <t>12.8暂扣企税</t>
  </si>
  <si>
    <t>已汇</t>
  </si>
  <si>
    <t xml:space="preserve"> 12.24汇入王光如卡 红冲12.8企税0.01、水利基金</t>
  </si>
  <si>
    <t xml:space="preserve"> 12.24汇入王光如卡 红冲12.8管理费0.02 </t>
  </si>
  <si>
    <t>暂扣</t>
  </si>
  <si>
    <t>企税</t>
  </si>
  <si>
    <t>12.29退暂扣企税</t>
  </si>
  <si>
    <t>邓云琪13471032251(叶绍烽）</t>
  </si>
  <si>
    <t>1.13汇入王光如卡（黄娜付款）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</si>
</sst>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  <numFmt numFmtId="178" formatCode="0.00_ "/>
    <numFmt numFmtId="179" formatCode="#,##0.00_ "/>
    <numFmt numFmtId="180" formatCode="yyyy&quot;年&quot;m&quot;月&quot;;@"/>
    <numFmt numFmtId="181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>
      <protection locked="0"/>
    </xf>
  </cellStyleXfs>
  <cellXfs count="101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6" fillId="4" borderId="3" xfId="0" applyNumberFormat="1" applyFont="1" applyFill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6" borderId="2" xfId="49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78" fontId="1" fillId="2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10" workbookViewId="0">
      <selection activeCell="B25" sqref="B25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3.1333333333333" style="3" customWidth="1"/>
    <col min="7" max="7" width="14.1333333333333" style="3" customWidth="1"/>
    <col min="8" max="8" width="9.63333333333333" style="4" customWidth="1"/>
    <col min="9" max="9" width="13.8833333333333" style="3" customWidth="1"/>
    <col min="10" max="10" width="6.13333333333333" style="72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97" t="s">
        <v>4</v>
      </c>
      <c r="G2" s="16" t="s">
        <v>5</v>
      </c>
      <c r="H2" s="17" t="s">
        <v>6</v>
      </c>
      <c r="I2" s="66"/>
      <c r="J2" s="91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8"/>
      <c r="B7" s="29">
        <f t="shared" ref="B7:B8" si="0">G7/(1+C7+E7)</f>
        <v>0</v>
      </c>
      <c r="C7" s="30">
        <v>0.02</v>
      </c>
      <c r="D7" s="31">
        <f t="shared" ref="D7:D8" si="1">G7/(1+E7+C7)*C7</f>
        <v>0</v>
      </c>
      <c r="E7" s="32">
        <v>0.07</v>
      </c>
      <c r="F7" s="29">
        <f t="shared" ref="F7:F8" si="2">G7/(1+C7+E7)*E7</f>
        <v>0</v>
      </c>
      <c r="G7" s="98"/>
      <c r="H7" s="28"/>
      <c r="I7" s="29"/>
      <c r="J7" s="69"/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98"/>
      <c r="H8" s="28"/>
      <c r="I8" s="29"/>
      <c r="J8" s="69"/>
    </row>
    <row r="9" ht="18" customHeight="1" spans="1:10">
      <c r="A9" s="28"/>
      <c r="B9" s="29">
        <f t="shared" ref="B8:B10" si="3">G9/(1+C9+E9)</f>
        <v>0</v>
      </c>
      <c r="C9" s="30">
        <v>0.02</v>
      </c>
      <c r="D9" s="31">
        <f t="shared" ref="D8:D10" si="4">G9/(1+E9+C9)*C9</f>
        <v>0</v>
      </c>
      <c r="E9" s="32">
        <v>0.07</v>
      </c>
      <c r="F9" s="29">
        <f t="shared" ref="F8:F10" si="5">G9/(1+C9+E9)*E9</f>
        <v>0</v>
      </c>
      <c r="G9" s="98"/>
      <c r="H9" s="28"/>
      <c r="I9" s="29"/>
      <c r="J9" s="69"/>
    </row>
    <row r="10" ht="18" customHeight="1" spans="1:10">
      <c r="A10" s="28"/>
      <c r="B10" s="29">
        <f t="shared" si="3"/>
        <v>0</v>
      </c>
      <c r="C10" s="30">
        <v>0.02</v>
      </c>
      <c r="D10" s="31">
        <f t="shared" si="4"/>
        <v>0</v>
      </c>
      <c r="E10" s="32">
        <v>0.07</v>
      </c>
      <c r="F10" s="29">
        <f t="shared" si="5"/>
        <v>0</v>
      </c>
      <c r="G10" s="98"/>
      <c r="H10" s="28"/>
      <c r="I10" s="29"/>
      <c r="J10" s="69"/>
    </row>
    <row r="11" ht="18" customHeight="1" spans="1:10">
      <c r="A11" s="34" t="s">
        <v>21</v>
      </c>
      <c r="B11" s="35">
        <f>SUM(B7:B10)</f>
        <v>0</v>
      </c>
      <c r="C11" s="36"/>
      <c r="D11" s="37">
        <f t="shared" ref="D11:G11" si="6">SUM(D7:D10)</f>
        <v>0</v>
      </c>
      <c r="E11" s="36"/>
      <c r="F11" s="38">
        <f t="shared" si="6"/>
        <v>0</v>
      </c>
      <c r="G11" s="37">
        <f t="shared" si="6"/>
        <v>0</v>
      </c>
      <c r="H11" s="39"/>
      <c r="I11" s="37">
        <f>SUM(I7:I10)</f>
        <v>0</v>
      </c>
      <c r="J11" s="39"/>
    </row>
    <row r="12" ht="18" customHeight="1" spans="1:12">
      <c r="A12" s="2" t="s">
        <v>22</v>
      </c>
      <c r="J12" s="4"/>
      <c r="K12" s="4"/>
      <c r="L12" s="72"/>
    </row>
    <row r="13" ht="18" customHeight="1" spans="1:15">
      <c r="A13" s="40" t="s">
        <v>23</v>
      </c>
      <c r="B13" s="21" t="s">
        <v>24</v>
      </c>
      <c r="C13" s="20" t="s">
        <v>25</v>
      </c>
      <c r="D13" s="20" t="s">
        <v>26</v>
      </c>
      <c r="E13" s="20" t="s">
        <v>16</v>
      </c>
      <c r="F13" s="21" t="s">
        <v>27</v>
      </c>
      <c r="G13" s="21" t="s">
        <v>14</v>
      </c>
      <c r="H13" s="20" t="s">
        <v>28</v>
      </c>
      <c r="I13" s="21" t="s">
        <v>29</v>
      </c>
      <c r="J13" s="20" t="s">
        <v>20</v>
      </c>
      <c r="K13" s="73" t="s">
        <v>30</v>
      </c>
      <c r="L13" s="22" t="s">
        <v>31</v>
      </c>
      <c r="M13" s="22" t="s">
        <v>32</v>
      </c>
      <c r="N13" s="22" t="s">
        <v>33</v>
      </c>
      <c r="O13" s="22" t="s">
        <v>34</v>
      </c>
    </row>
    <row r="14" s="1" customFormat="1" ht="18" customHeight="1" spans="1:15">
      <c r="A14" s="41"/>
      <c r="B14" s="18">
        <f t="shared" ref="B14:B27" si="7">ROUND(G14/(1+E14),2)</f>
        <v>0</v>
      </c>
      <c r="C14" s="42"/>
      <c r="D14" s="43"/>
      <c r="E14" s="44"/>
      <c r="F14" s="18">
        <f t="shared" ref="F14:F27" si="8">ROUND(G14/(1+E14)*E14,2)</f>
        <v>0</v>
      </c>
      <c r="G14" s="98"/>
      <c r="H14" s="99">
        <v>44141</v>
      </c>
      <c r="I14" s="100">
        <v>189000</v>
      </c>
      <c r="J14" s="80" t="s">
        <v>35</v>
      </c>
      <c r="K14" s="81" t="s">
        <v>36</v>
      </c>
      <c r="L14" s="95" t="s">
        <v>37</v>
      </c>
      <c r="M14" s="77"/>
      <c r="N14" s="77"/>
      <c r="O14" s="49"/>
    </row>
    <row r="15" s="1" customFormat="1" ht="18" customHeight="1" spans="1:15">
      <c r="A15" s="41"/>
      <c r="B15" s="18">
        <f t="shared" si="7"/>
        <v>0</v>
      </c>
      <c r="C15" s="42"/>
      <c r="D15" s="43"/>
      <c r="E15" s="44"/>
      <c r="F15" s="18">
        <f t="shared" si="8"/>
        <v>0</v>
      </c>
      <c r="G15" s="98"/>
      <c r="H15" s="99">
        <v>44141</v>
      </c>
      <c r="I15" s="100">
        <v>189000</v>
      </c>
      <c r="J15" s="80" t="s">
        <v>38</v>
      </c>
      <c r="K15" s="81" t="s">
        <v>39</v>
      </c>
      <c r="L15" s="95" t="s">
        <v>40</v>
      </c>
      <c r="M15" s="77"/>
      <c r="N15" s="77"/>
      <c r="O15" s="49"/>
    </row>
    <row r="16" s="1" customFormat="1" ht="18" customHeight="1" spans="1:15">
      <c r="A16" s="41"/>
      <c r="B16" s="18">
        <f t="shared" si="7"/>
        <v>0</v>
      </c>
      <c r="C16" s="42"/>
      <c r="D16" s="43"/>
      <c r="E16" s="44"/>
      <c r="F16" s="18">
        <f t="shared" si="8"/>
        <v>0</v>
      </c>
      <c r="G16" s="98"/>
      <c r="H16" s="28"/>
      <c r="I16" s="29"/>
      <c r="J16" s="69"/>
      <c r="K16" s="96"/>
      <c r="L16" s="49"/>
      <c r="M16" s="77"/>
      <c r="N16" s="77"/>
      <c r="O16" s="49"/>
    </row>
    <row r="17" s="1" customFormat="1" ht="18" customHeight="1" spans="1:15">
      <c r="A17" s="41"/>
      <c r="B17" s="18">
        <f t="shared" si="7"/>
        <v>0</v>
      </c>
      <c r="C17" s="42"/>
      <c r="D17" s="43"/>
      <c r="E17" s="44"/>
      <c r="F17" s="18">
        <f t="shared" si="8"/>
        <v>0</v>
      </c>
      <c r="G17" s="98"/>
      <c r="H17" s="28"/>
      <c r="I17" s="29"/>
      <c r="J17" s="69"/>
      <c r="K17" s="96"/>
      <c r="L17" s="49"/>
      <c r="M17" s="77"/>
      <c r="N17" s="77"/>
      <c r="O17" s="49"/>
    </row>
    <row r="18" s="1" customFormat="1" ht="18" customHeight="1" spans="1:15">
      <c r="A18" s="41"/>
      <c r="B18" s="18">
        <f t="shared" si="7"/>
        <v>0</v>
      </c>
      <c r="C18" s="42"/>
      <c r="D18" s="43"/>
      <c r="E18" s="44"/>
      <c r="F18" s="18">
        <f t="shared" si="8"/>
        <v>0</v>
      </c>
      <c r="G18" s="98"/>
      <c r="H18" s="28"/>
      <c r="I18" s="29"/>
      <c r="J18" s="69"/>
      <c r="K18" s="96"/>
      <c r="L18" s="49"/>
      <c r="M18" s="77"/>
      <c r="N18" s="77"/>
      <c r="O18" s="49"/>
    </row>
    <row r="19" s="1" customFormat="1" ht="18" customHeight="1" spans="1:15">
      <c r="A19" s="41"/>
      <c r="B19" s="18">
        <f t="shared" si="7"/>
        <v>0</v>
      </c>
      <c r="C19" s="42"/>
      <c r="D19" s="43"/>
      <c r="E19" s="44"/>
      <c r="F19" s="18">
        <f t="shared" si="8"/>
        <v>0</v>
      </c>
      <c r="G19" s="98"/>
      <c r="H19" s="28"/>
      <c r="I19" s="29"/>
      <c r="J19" s="69"/>
      <c r="K19" s="96"/>
      <c r="L19" s="49"/>
      <c r="M19" s="77"/>
      <c r="N19" s="77"/>
      <c r="O19" s="49"/>
    </row>
    <row r="20" s="1" customFormat="1" ht="18" customHeight="1" spans="1:15">
      <c r="A20" s="41"/>
      <c r="B20" s="18">
        <f t="shared" si="7"/>
        <v>0</v>
      </c>
      <c r="C20" s="42"/>
      <c r="D20" s="43"/>
      <c r="E20" s="44"/>
      <c r="F20" s="18">
        <f t="shared" si="8"/>
        <v>0</v>
      </c>
      <c r="G20" s="98"/>
      <c r="H20" s="28"/>
      <c r="I20" s="29"/>
      <c r="J20" s="69"/>
      <c r="K20" s="96"/>
      <c r="L20" s="49"/>
      <c r="M20" s="77"/>
      <c r="N20" s="77"/>
      <c r="O20" s="49"/>
    </row>
    <row r="21" s="1" customFormat="1" ht="18" customHeight="1" spans="1:15">
      <c r="A21" s="41"/>
      <c r="B21" s="18">
        <f t="shared" si="7"/>
        <v>0</v>
      </c>
      <c r="C21" s="42"/>
      <c r="D21" s="43"/>
      <c r="E21" s="44"/>
      <c r="F21" s="18">
        <f t="shared" si="8"/>
        <v>0</v>
      </c>
      <c r="G21" s="98"/>
      <c r="H21" s="28"/>
      <c r="I21" s="29"/>
      <c r="J21" s="69"/>
      <c r="K21" s="96"/>
      <c r="L21" s="49"/>
      <c r="M21" s="77"/>
      <c r="N21" s="77"/>
      <c r="O21" s="49"/>
    </row>
    <row r="22" s="1" customFormat="1" ht="18" customHeight="1" spans="1:15">
      <c r="A22" s="41"/>
      <c r="B22" s="18">
        <f t="shared" si="7"/>
        <v>0</v>
      </c>
      <c r="C22" s="42"/>
      <c r="D22" s="43"/>
      <c r="E22" s="44"/>
      <c r="F22" s="18">
        <f t="shared" si="8"/>
        <v>0</v>
      </c>
      <c r="G22" s="98"/>
      <c r="H22" s="28"/>
      <c r="I22" s="29"/>
      <c r="J22" s="69"/>
      <c r="K22" s="96"/>
      <c r="L22" s="49"/>
      <c r="M22" s="77"/>
      <c r="N22" s="77"/>
      <c r="O22" s="49"/>
    </row>
    <row r="23" s="1" customFormat="1" ht="18" customHeight="1" spans="1:15">
      <c r="A23" s="41"/>
      <c r="B23" s="18">
        <f t="shared" si="7"/>
        <v>0</v>
      </c>
      <c r="C23" s="42"/>
      <c r="D23" s="43"/>
      <c r="E23" s="44"/>
      <c r="F23" s="18">
        <f t="shared" si="8"/>
        <v>0</v>
      </c>
      <c r="G23" s="98"/>
      <c r="H23" s="28"/>
      <c r="I23" s="29"/>
      <c r="J23" s="69"/>
      <c r="K23" s="96"/>
      <c r="L23" s="49"/>
      <c r="M23" s="77"/>
      <c r="N23" s="77"/>
      <c r="O23" s="49"/>
    </row>
    <row r="24" s="1" customFormat="1" ht="18" customHeight="1" spans="1:15">
      <c r="A24" s="41"/>
      <c r="B24" s="18">
        <f t="shared" si="7"/>
        <v>0</v>
      </c>
      <c r="C24" s="42"/>
      <c r="D24" s="43"/>
      <c r="E24" s="44"/>
      <c r="F24" s="18">
        <f t="shared" si="8"/>
        <v>0</v>
      </c>
      <c r="G24" s="98"/>
      <c r="H24" s="28"/>
      <c r="I24" s="29"/>
      <c r="J24" s="69"/>
      <c r="K24" s="96"/>
      <c r="L24" s="49"/>
      <c r="M24" s="77"/>
      <c r="N24" s="77"/>
      <c r="O24" s="49"/>
    </row>
    <row r="25" s="1" customFormat="1" ht="18" customHeight="1" spans="1:15">
      <c r="A25" s="41"/>
      <c r="B25" s="18">
        <f t="shared" si="7"/>
        <v>0</v>
      </c>
      <c r="C25" s="42"/>
      <c r="D25" s="43"/>
      <c r="E25" s="44"/>
      <c r="F25" s="18">
        <f t="shared" si="8"/>
        <v>0</v>
      </c>
      <c r="G25" s="98"/>
      <c r="H25" s="28"/>
      <c r="I25" s="29"/>
      <c r="J25" s="69"/>
      <c r="K25" s="96"/>
      <c r="L25" s="49"/>
      <c r="M25" s="77"/>
      <c r="N25" s="77"/>
      <c r="O25" s="49"/>
    </row>
    <row r="26" s="1" customFormat="1" ht="18" customHeight="1" spans="1:15">
      <c r="A26" s="41"/>
      <c r="B26" s="18">
        <f t="shared" si="7"/>
        <v>0</v>
      </c>
      <c r="C26" s="42"/>
      <c r="D26" s="43"/>
      <c r="E26" s="44"/>
      <c r="F26" s="18">
        <f t="shared" si="8"/>
        <v>0</v>
      </c>
      <c r="G26" s="98"/>
      <c r="H26" s="28"/>
      <c r="I26" s="29"/>
      <c r="J26" s="69"/>
      <c r="K26" s="96"/>
      <c r="L26" s="49"/>
      <c r="M26" s="77"/>
      <c r="N26" s="77"/>
      <c r="O26" s="49"/>
    </row>
    <row r="27" s="1" customFormat="1" ht="18" customHeight="1" spans="1:15">
      <c r="A27" s="41"/>
      <c r="B27" s="18">
        <f t="shared" si="7"/>
        <v>0</v>
      </c>
      <c r="C27" s="42"/>
      <c r="D27" s="43"/>
      <c r="E27" s="44"/>
      <c r="F27" s="18">
        <f t="shared" si="8"/>
        <v>0</v>
      </c>
      <c r="G27" s="98"/>
      <c r="H27" s="28"/>
      <c r="I27" s="29"/>
      <c r="J27" s="69"/>
      <c r="K27" s="96"/>
      <c r="L27" s="49"/>
      <c r="M27" s="77"/>
      <c r="N27" s="77"/>
      <c r="O27" s="49"/>
    </row>
    <row r="28" s="1" customFormat="1" ht="18" customHeight="1" spans="1:15">
      <c r="A28" s="41"/>
      <c r="B28" s="18">
        <f t="shared" ref="B15:B31" si="9">ROUND(G28/(1+E28),2)</f>
        <v>0</v>
      </c>
      <c r="C28" s="42"/>
      <c r="D28" s="43"/>
      <c r="E28" s="44"/>
      <c r="F28" s="18">
        <f t="shared" ref="F15:F31" si="10">ROUND(G28/(1+E28)*E28,2)</f>
        <v>0</v>
      </c>
      <c r="G28" s="98"/>
      <c r="H28" s="28"/>
      <c r="I28" s="29"/>
      <c r="J28" s="69"/>
      <c r="K28" s="96"/>
      <c r="L28" s="49"/>
      <c r="M28" s="77"/>
      <c r="N28" s="77"/>
      <c r="O28" s="49"/>
    </row>
    <row r="29" s="1" customFormat="1" ht="18" customHeight="1" spans="1:15">
      <c r="A29" s="41"/>
      <c r="B29" s="18">
        <f t="shared" si="9"/>
        <v>0</v>
      </c>
      <c r="C29" s="42"/>
      <c r="D29" s="43"/>
      <c r="E29" s="44"/>
      <c r="F29" s="18">
        <f t="shared" si="10"/>
        <v>0</v>
      </c>
      <c r="G29" s="98"/>
      <c r="H29" s="28"/>
      <c r="I29" s="29"/>
      <c r="J29" s="69"/>
      <c r="K29" s="96"/>
      <c r="L29" s="49"/>
      <c r="M29" s="77"/>
      <c r="N29" s="77"/>
      <c r="O29" s="49"/>
    </row>
    <row r="30" s="1" customFormat="1" ht="18" customHeight="1" spans="1:15">
      <c r="A30" s="41"/>
      <c r="B30" s="18">
        <f t="shared" si="9"/>
        <v>0</v>
      </c>
      <c r="C30" s="42"/>
      <c r="D30" s="43"/>
      <c r="E30" s="44"/>
      <c r="F30" s="18">
        <f t="shared" si="10"/>
        <v>0</v>
      </c>
      <c r="G30" s="98"/>
      <c r="H30" s="28"/>
      <c r="I30" s="29"/>
      <c r="J30" s="69"/>
      <c r="K30" s="96"/>
      <c r="L30" s="49"/>
      <c r="M30" s="77"/>
      <c r="N30" s="77"/>
      <c r="O30" s="49"/>
    </row>
    <row r="31" s="1" customFormat="1" ht="18" customHeight="1" spans="1:15">
      <c r="A31" s="41"/>
      <c r="B31" s="18">
        <f t="shared" si="9"/>
        <v>0</v>
      </c>
      <c r="C31" s="42"/>
      <c r="D31" s="43"/>
      <c r="E31" s="44"/>
      <c r="F31" s="18">
        <f t="shared" si="10"/>
        <v>0</v>
      </c>
      <c r="G31" s="98"/>
      <c r="H31" s="28"/>
      <c r="I31" s="29"/>
      <c r="J31" s="69"/>
      <c r="K31" s="96"/>
      <c r="L31" s="49"/>
      <c r="M31" s="77"/>
      <c r="N31" s="77"/>
      <c r="O31" s="49"/>
    </row>
    <row r="32" ht="18" customHeight="1" spans="1:15">
      <c r="A32" s="36" t="s">
        <v>21</v>
      </c>
      <c r="B32" s="35">
        <f t="shared" ref="B32:G32" si="11">SUM(B14:B31)</f>
        <v>0</v>
      </c>
      <c r="C32" s="36"/>
      <c r="D32" s="50"/>
      <c r="E32" s="50"/>
      <c r="F32" s="38">
        <f t="shared" si="11"/>
        <v>0</v>
      </c>
      <c r="G32" s="65">
        <f t="shared" si="11"/>
        <v>0</v>
      </c>
      <c r="H32" s="52"/>
      <c r="I32" s="37">
        <f>SUM(I14:I31)</f>
        <v>378000</v>
      </c>
      <c r="J32" s="94" t="s">
        <v>41</v>
      </c>
      <c r="K32" s="50" t="s">
        <v>42</v>
      </c>
      <c r="L32" s="39"/>
      <c r="M32" s="69"/>
      <c r="N32" s="69"/>
      <c r="O32" s="39"/>
    </row>
    <row r="33" ht="18" customHeight="1" spans="1:14">
      <c r="A33" s="53" t="s">
        <v>43</v>
      </c>
      <c r="B33" s="54">
        <f>B11*0.936</f>
        <v>0</v>
      </c>
      <c r="C33" s="53"/>
      <c r="D33" s="55"/>
      <c r="E33" s="55"/>
      <c r="F33" s="54"/>
      <c r="G33" s="54">
        <f>G11-G32</f>
        <v>0</v>
      </c>
      <c r="H33" s="22" t="s">
        <v>44</v>
      </c>
      <c r="I33" s="37">
        <f>I11-I32</f>
        <v>-378000</v>
      </c>
      <c r="J33" s="7"/>
      <c r="K33" s="87"/>
      <c r="M33" s="86"/>
      <c r="N33" s="86"/>
    </row>
    <row r="34" ht="18" customHeight="1" spans="1:14">
      <c r="A34" s="53" t="s">
        <v>45</v>
      </c>
      <c r="B34" s="54">
        <f>B33-B32</f>
        <v>0</v>
      </c>
      <c r="C34" s="53"/>
      <c r="D34" s="55"/>
      <c r="E34" s="55"/>
      <c r="F34" s="54"/>
      <c r="G34" s="54"/>
      <c r="H34" s="57"/>
      <c r="I34" s="54"/>
      <c r="J34" s="7"/>
      <c r="K34" s="87"/>
      <c r="M34" s="86"/>
      <c r="N34" s="86"/>
    </row>
    <row r="35" ht="18" customHeight="1" spans="1:3">
      <c r="A35" s="2" t="s">
        <v>46</v>
      </c>
      <c r="C35" s="2"/>
    </row>
    <row r="36" ht="18" customHeight="1" spans="1:6">
      <c r="A36" s="22" t="s">
        <v>47</v>
      </c>
      <c r="B36" s="21" t="s">
        <v>48</v>
      </c>
      <c r="C36" s="39"/>
      <c r="D36" s="22" t="s">
        <v>47</v>
      </c>
      <c r="E36" s="20" t="s">
        <v>16</v>
      </c>
      <c r="F36" s="21" t="s">
        <v>48</v>
      </c>
    </row>
    <row r="37" ht="18" customHeight="1" spans="1:6">
      <c r="A37" s="39" t="s">
        <v>49</v>
      </c>
      <c r="B37" s="18">
        <f>(B33-B32)*0.25</f>
        <v>0</v>
      </c>
      <c r="C37" s="39"/>
      <c r="D37" s="34" t="s">
        <v>50</v>
      </c>
      <c r="E37" s="22" t="s">
        <v>51</v>
      </c>
      <c r="F37" s="38">
        <f>F11-F32</f>
        <v>0</v>
      </c>
    </row>
    <row r="38" ht="18" customHeight="1" spans="1:6">
      <c r="A38" s="39" t="s">
        <v>52</v>
      </c>
      <c r="B38" s="61"/>
      <c r="C38" s="39"/>
      <c r="D38" s="62" t="s">
        <v>53</v>
      </c>
      <c r="E38" s="14">
        <v>0.05</v>
      </c>
      <c r="F38" s="29">
        <f>F37*E38</f>
        <v>0</v>
      </c>
    </row>
    <row r="39" ht="18" customHeight="1" spans="1:6">
      <c r="A39" s="39" t="s">
        <v>54</v>
      </c>
      <c r="B39" s="61"/>
      <c r="C39" s="39"/>
      <c r="D39" s="62" t="s">
        <v>55</v>
      </c>
      <c r="E39" s="14">
        <v>0.03</v>
      </c>
      <c r="F39" s="29">
        <f>F37*E39</f>
        <v>0</v>
      </c>
    </row>
    <row r="40" ht="18" customHeight="1" spans="1:6">
      <c r="A40" s="39"/>
      <c r="B40" s="29"/>
      <c r="C40" s="39"/>
      <c r="D40" s="62" t="s">
        <v>56</v>
      </c>
      <c r="E40" s="14">
        <v>0.02</v>
      </c>
      <c r="F40" s="29">
        <f>F37*E40</f>
        <v>0</v>
      </c>
    </row>
    <row r="41" ht="18" customHeight="1" spans="1:6">
      <c r="A41" s="34" t="s">
        <v>57</v>
      </c>
      <c r="B41" s="35">
        <f>SUM(B37:B40)</f>
        <v>0</v>
      </c>
      <c r="C41" s="39"/>
      <c r="D41" s="40" t="s">
        <v>57</v>
      </c>
      <c r="E41" s="34"/>
      <c r="F41" s="38">
        <f>SUM(F37:F40)</f>
        <v>0</v>
      </c>
    </row>
    <row r="42" ht="18" customHeight="1" spans="3:6">
      <c r="C42" s="2"/>
      <c r="D42" s="12" t="s">
        <v>52</v>
      </c>
      <c r="E42" s="64">
        <v>0.0003</v>
      </c>
      <c r="F42" s="29">
        <f>G11*E42</f>
        <v>0</v>
      </c>
    </row>
    <row r="43" ht="18" customHeight="1" spans="3:6">
      <c r="C43" s="2"/>
      <c r="D43" s="12" t="s">
        <v>54</v>
      </c>
      <c r="E43" s="64">
        <v>0.0006</v>
      </c>
      <c r="F43" s="29">
        <f>B37</f>
        <v>0</v>
      </c>
    </row>
    <row r="44" ht="18" customHeight="1" spans="3:6">
      <c r="C44" s="2"/>
      <c r="D44" s="20" t="s">
        <v>57</v>
      </c>
      <c r="E44" s="50"/>
      <c r="F44" s="37">
        <f>F43+F42</f>
        <v>0</v>
      </c>
    </row>
    <row r="45" ht="18" customHeight="1" spans="3:6">
      <c r="C45" s="2"/>
      <c r="D45" s="20" t="s">
        <v>21</v>
      </c>
      <c r="E45" s="36"/>
      <c r="F45" s="37">
        <f>F41+F44</f>
        <v>0</v>
      </c>
    </row>
    <row r="46" ht="18" customHeight="1" spans="3:6">
      <c r="C46" s="2"/>
      <c r="D46" s="36" t="s">
        <v>49</v>
      </c>
      <c r="E46" s="50"/>
      <c r="F46" s="37">
        <f>B11*E46</f>
        <v>0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11" workbookViewId="0">
      <selection activeCell="K40" sqref="K40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2.8833333333333" style="3" customWidth="1"/>
    <col min="7" max="7" width="14.1333333333333" style="5" customWidth="1"/>
    <col min="8" max="8" width="9.63333333333333" style="4" customWidth="1"/>
    <col min="9" max="9" width="13.8833333333333" style="3" customWidth="1"/>
    <col min="10" max="10" width="6.13333333333333" style="72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31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15" t="s">
        <v>58</v>
      </c>
      <c r="G2" s="16" t="s">
        <v>5</v>
      </c>
      <c r="H2" s="17" t="s">
        <v>6</v>
      </c>
      <c r="I2" s="66"/>
      <c r="J2" s="91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 t="s">
        <v>59</v>
      </c>
      <c r="B7" s="18">
        <f t="shared" ref="B7:B10" si="0">G7/(1+C7+E7)</f>
        <v>4128440.36697248</v>
      </c>
      <c r="C7" s="24">
        <v>0.02</v>
      </c>
      <c r="D7" s="25">
        <f t="shared" ref="D7:D10" si="1">G7/(1+E7+C7)*C7</f>
        <v>82568.8073394495</v>
      </c>
      <c r="E7" s="26">
        <v>0.07</v>
      </c>
      <c r="F7" s="18">
        <f t="shared" ref="F7:F10" si="2">G7/(1+C7+E7)*E7</f>
        <v>288990.825688073</v>
      </c>
      <c r="G7" s="27">
        <v>4500000</v>
      </c>
      <c r="H7" s="28">
        <v>44167</v>
      </c>
      <c r="I7" s="29">
        <v>2856000</v>
      </c>
      <c r="J7" s="69"/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27"/>
      <c r="H8" s="28">
        <v>44167</v>
      </c>
      <c r="I8" s="29">
        <v>744000</v>
      </c>
      <c r="J8" s="69"/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2">
        <v>0.07</v>
      </c>
      <c r="F9" s="29">
        <f t="shared" si="2"/>
        <v>0</v>
      </c>
      <c r="G9" s="27"/>
      <c r="H9" s="28"/>
      <c r="I9" s="29"/>
      <c r="J9" s="69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2">
        <v>0.07</v>
      </c>
      <c r="F10" s="29">
        <f t="shared" si="2"/>
        <v>0</v>
      </c>
      <c r="G10" s="27"/>
      <c r="H10" s="28"/>
      <c r="I10" s="29"/>
      <c r="J10" s="69"/>
    </row>
    <row r="11" ht="18" customHeight="1" spans="1:10">
      <c r="A11" s="34" t="s">
        <v>21</v>
      </c>
      <c r="B11" s="35">
        <f t="shared" ref="B11:G11" si="3">SUM(B7:B10)</f>
        <v>4128440.36697248</v>
      </c>
      <c r="C11" s="36"/>
      <c r="D11" s="37">
        <f t="shared" si="3"/>
        <v>82568.8073394495</v>
      </c>
      <c r="E11" s="36"/>
      <c r="F11" s="38">
        <f t="shared" si="3"/>
        <v>288990.825688073</v>
      </c>
      <c r="G11" s="21">
        <f t="shared" si="3"/>
        <v>4500000</v>
      </c>
      <c r="H11" s="39"/>
      <c r="I11" s="37">
        <f>SUM(I7:I10)</f>
        <v>3600000</v>
      </c>
      <c r="J11" s="39"/>
    </row>
    <row r="12" ht="18" customHeight="1" spans="1:12">
      <c r="A12" s="2" t="s">
        <v>22</v>
      </c>
      <c r="J12" s="4"/>
      <c r="K12" s="4"/>
      <c r="L12" s="72"/>
    </row>
    <row r="13" ht="18" customHeight="1" spans="1:15">
      <c r="A13" s="40" t="s">
        <v>23</v>
      </c>
      <c r="B13" s="21" t="s">
        <v>24</v>
      </c>
      <c r="C13" s="20" t="s">
        <v>25</v>
      </c>
      <c r="D13" s="20" t="s">
        <v>26</v>
      </c>
      <c r="E13" s="20" t="s">
        <v>16</v>
      </c>
      <c r="F13" s="21" t="s">
        <v>27</v>
      </c>
      <c r="G13" s="21" t="s">
        <v>14</v>
      </c>
      <c r="H13" s="20" t="s">
        <v>28</v>
      </c>
      <c r="I13" s="21" t="s">
        <v>29</v>
      </c>
      <c r="J13" s="20" t="s">
        <v>20</v>
      </c>
      <c r="K13" s="73" t="s">
        <v>30</v>
      </c>
      <c r="L13" s="22" t="s">
        <v>31</v>
      </c>
      <c r="M13" s="22" t="s">
        <v>32</v>
      </c>
      <c r="N13" s="22" t="s">
        <v>33</v>
      </c>
      <c r="O13" s="22" t="s">
        <v>34</v>
      </c>
    </row>
    <row r="14" s="1" customFormat="1" ht="18" customHeight="1" spans="1:15">
      <c r="A14" s="41"/>
      <c r="B14" s="18">
        <f t="shared" ref="B14:B31" si="4">ROUND(G14/(1+E14),2)</f>
        <v>0</v>
      </c>
      <c r="C14" s="42"/>
      <c r="D14" s="43"/>
      <c r="E14" s="44"/>
      <c r="F14" s="18">
        <f t="shared" ref="F14:F31" si="5">ROUND(G14/(1+E14)*E14,2)</f>
        <v>0</v>
      </c>
      <c r="G14" s="27"/>
      <c r="H14" s="45">
        <v>44141</v>
      </c>
      <c r="I14" s="25">
        <v>-189000</v>
      </c>
      <c r="J14" s="74" t="s">
        <v>35</v>
      </c>
      <c r="K14" s="75" t="s">
        <v>36</v>
      </c>
      <c r="L14" s="76" t="s">
        <v>37</v>
      </c>
      <c r="M14" s="77"/>
      <c r="N14" s="77"/>
      <c r="O14" s="49"/>
    </row>
    <row r="15" s="1" customFormat="1" ht="18" customHeight="1" spans="1:15">
      <c r="A15" s="41"/>
      <c r="B15" s="18">
        <f t="shared" si="4"/>
        <v>0</v>
      </c>
      <c r="C15" s="42"/>
      <c r="D15" s="43"/>
      <c r="E15" s="44"/>
      <c r="F15" s="18">
        <f t="shared" si="5"/>
        <v>0</v>
      </c>
      <c r="G15" s="27"/>
      <c r="H15" s="45">
        <v>44141</v>
      </c>
      <c r="I15" s="25">
        <v>189000</v>
      </c>
      <c r="J15" s="74" t="s">
        <v>38</v>
      </c>
      <c r="K15" s="75" t="s">
        <v>39</v>
      </c>
      <c r="L15" s="76" t="s">
        <v>40</v>
      </c>
      <c r="M15" s="77"/>
      <c r="N15" s="77"/>
      <c r="O15" s="49"/>
    </row>
    <row r="16" s="1" customFormat="1" ht="18" customHeight="1" spans="1:15">
      <c r="A16" s="41"/>
      <c r="B16" s="18">
        <f t="shared" si="4"/>
        <v>0</v>
      </c>
      <c r="C16" s="42"/>
      <c r="D16" s="43"/>
      <c r="E16" s="44"/>
      <c r="F16" s="18">
        <f t="shared" si="5"/>
        <v>0</v>
      </c>
      <c r="G16" s="27"/>
      <c r="H16" s="48">
        <v>44151</v>
      </c>
      <c r="I16" s="79">
        <v>-276290</v>
      </c>
      <c r="J16" s="80" t="s">
        <v>35</v>
      </c>
      <c r="K16" s="81" t="s">
        <v>36</v>
      </c>
      <c r="L16" s="95" t="s">
        <v>37</v>
      </c>
      <c r="M16" s="77"/>
      <c r="N16" s="77"/>
      <c r="O16" s="49"/>
    </row>
    <row r="17" s="1" customFormat="1" ht="18" customHeight="1" spans="2:15">
      <c r="B17" s="18">
        <f t="shared" si="4"/>
        <v>0</v>
      </c>
      <c r="C17" s="42"/>
      <c r="D17" s="43"/>
      <c r="E17" s="44"/>
      <c r="F17" s="18">
        <f t="shared" si="5"/>
        <v>0</v>
      </c>
      <c r="G17" s="27"/>
      <c r="H17" s="48">
        <v>44151</v>
      </c>
      <c r="I17" s="79">
        <v>276290</v>
      </c>
      <c r="J17" s="80" t="s">
        <v>38</v>
      </c>
      <c r="K17" s="81" t="s">
        <v>39</v>
      </c>
      <c r="L17" s="95" t="s">
        <v>40</v>
      </c>
      <c r="M17" s="77"/>
      <c r="N17" s="77"/>
      <c r="O17" s="49"/>
    </row>
    <row r="18" s="1" customFormat="1" ht="18" customHeight="1" spans="1:15">
      <c r="A18" s="41">
        <v>44154</v>
      </c>
      <c r="B18" s="18">
        <f t="shared" si="4"/>
        <v>2389858.41</v>
      </c>
      <c r="C18" s="42"/>
      <c r="D18" s="43" t="s">
        <v>60</v>
      </c>
      <c r="E18" s="47">
        <v>0.13</v>
      </c>
      <c r="F18" s="18">
        <f t="shared" si="5"/>
        <v>310681.59</v>
      </c>
      <c r="G18" s="27">
        <v>2700540</v>
      </c>
      <c r="H18" s="28"/>
      <c r="I18" s="29"/>
      <c r="J18" s="69"/>
      <c r="K18" s="96"/>
      <c r="L18" s="49"/>
      <c r="M18" s="77"/>
      <c r="N18" s="77"/>
      <c r="O18" s="49"/>
    </row>
    <row r="19" s="1" customFormat="1" ht="18" customHeight="1" spans="1:15">
      <c r="A19" s="41"/>
      <c r="B19" s="18">
        <f t="shared" si="4"/>
        <v>0</v>
      </c>
      <c r="C19" s="42"/>
      <c r="D19" s="43"/>
      <c r="E19" s="44"/>
      <c r="F19" s="18">
        <f t="shared" si="5"/>
        <v>0</v>
      </c>
      <c r="G19" s="27"/>
      <c r="H19" s="28"/>
      <c r="I19" s="29"/>
      <c r="J19" s="69"/>
      <c r="K19" s="96"/>
      <c r="L19" s="49"/>
      <c r="M19" s="77"/>
      <c r="N19" s="77"/>
      <c r="O19" s="49"/>
    </row>
    <row r="20" s="1" customFormat="1" ht="18" customHeight="1" spans="1:15">
      <c r="A20" s="41"/>
      <c r="B20" s="18">
        <f t="shared" si="4"/>
        <v>0</v>
      </c>
      <c r="C20" s="42"/>
      <c r="D20" s="43"/>
      <c r="E20" s="44"/>
      <c r="F20" s="18">
        <f t="shared" si="5"/>
        <v>0</v>
      </c>
      <c r="G20" s="27"/>
      <c r="H20" s="28"/>
      <c r="I20" s="29"/>
      <c r="J20" s="69"/>
      <c r="K20" s="96"/>
      <c r="L20" s="49"/>
      <c r="M20" s="77"/>
      <c r="N20" s="77"/>
      <c r="O20" s="49"/>
    </row>
    <row r="21" s="1" customFormat="1" ht="18" customHeight="1" spans="1:15">
      <c r="A21" s="41"/>
      <c r="B21" s="18">
        <f t="shared" si="4"/>
        <v>0</v>
      </c>
      <c r="C21" s="42"/>
      <c r="D21" s="43"/>
      <c r="E21" s="44"/>
      <c r="F21" s="18">
        <f t="shared" si="5"/>
        <v>0</v>
      </c>
      <c r="G21" s="27"/>
      <c r="H21" s="28"/>
      <c r="I21" s="29"/>
      <c r="J21" s="69"/>
      <c r="K21" s="96"/>
      <c r="L21" s="49"/>
      <c r="M21" s="77"/>
      <c r="N21" s="77"/>
      <c r="O21" s="49"/>
    </row>
    <row r="22" s="1" customFormat="1" ht="18" customHeight="1" spans="1:15">
      <c r="A22" s="41"/>
      <c r="B22" s="18">
        <f t="shared" si="4"/>
        <v>0</v>
      </c>
      <c r="C22" s="42"/>
      <c r="D22" s="43"/>
      <c r="E22" s="44"/>
      <c r="F22" s="18">
        <f t="shared" si="5"/>
        <v>0</v>
      </c>
      <c r="G22" s="27"/>
      <c r="H22" s="28"/>
      <c r="I22" s="29"/>
      <c r="J22" s="69"/>
      <c r="K22" s="96"/>
      <c r="L22" s="49"/>
      <c r="M22" s="77"/>
      <c r="N22" s="77"/>
      <c r="O22" s="49"/>
    </row>
    <row r="23" s="1" customFormat="1" ht="18" customHeight="1" spans="1:15">
      <c r="A23" s="41"/>
      <c r="B23" s="18">
        <f t="shared" si="4"/>
        <v>0</v>
      </c>
      <c r="C23" s="42"/>
      <c r="D23" s="43"/>
      <c r="E23" s="44"/>
      <c r="F23" s="18">
        <f t="shared" si="5"/>
        <v>0</v>
      </c>
      <c r="G23" s="27"/>
      <c r="H23" s="28"/>
      <c r="I23" s="29"/>
      <c r="J23" s="69"/>
      <c r="K23" s="96"/>
      <c r="L23" s="49"/>
      <c r="M23" s="77"/>
      <c r="N23" s="77"/>
      <c r="O23" s="49"/>
    </row>
    <row r="24" s="1" customFormat="1" ht="18" customHeight="1" spans="1:15">
      <c r="A24" s="41"/>
      <c r="B24" s="18">
        <f t="shared" si="4"/>
        <v>0</v>
      </c>
      <c r="C24" s="42"/>
      <c r="D24" s="43"/>
      <c r="E24" s="44"/>
      <c r="F24" s="18">
        <f t="shared" si="5"/>
        <v>0</v>
      </c>
      <c r="G24" s="27"/>
      <c r="H24" s="28"/>
      <c r="I24" s="29"/>
      <c r="J24" s="69"/>
      <c r="K24" s="96"/>
      <c r="L24" s="49"/>
      <c r="M24" s="77"/>
      <c r="N24" s="77"/>
      <c r="O24" s="49"/>
    </row>
    <row r="25" s="1" customFormat="1" ht="18" customHeight="1" spans="1:15">
      <c r="A25" s="41"/>
      <c r="B25" s="18">
        <f t="shared" si="4"/>
        <v>0</v>
      </c>
      <c r="C25" s="42"/>
      <c r="D25" s="43"/>
      <c r="E25" s="44"/>
      <c r="F25" s="18">
        <f t="shared" si="5"/>
        <v>0</v>
      </c>
      <c r="G25" s="27"/>
      <c r="H25" s="28"/>
      <c r="I25" s="29"/>
      <c r="J25" s="69"/>
      <c r="K25" s="96"/>
      <c r="L25" s="49"/>
      <c r="M25" s="77"/>
      <c r="N25" s="77"/>
      <c r="O25" s="49"/>
    </row>
    <row r="26" s="1" customFormat="1" ht="18" customHeight="1" spans="1:15">
      <c r="A26" s="41"/>
      <c r="B26" s="18">
        <f t="shared" si="4"/>
        <v>0</v>
      </c>
      <c r="C26" s="42"/>
      <c r="D26" s="43"/>
      <c r="E26" s="44"/>
      <c r="F26" s="18">
        <f t="shared" si="5"/>
        <v>0</v>
      </c>
      <c r="G26" s="27"/>
      <c r="H26" s="28"/>
      <c r="I26" s="29"/>
      <c r="J26" s="69"/>
      <c r="K26" s="96"/>
      <c r="L26" s="49"/>
      <c r="M26" s="77"/>
      <c r="N26" s="77"/>
      <c r="O26" s="49"/>
    </row>
    <row r="27" s="1" customFormat="1" ht="18" customHeight="1" spans="1:15">
      <c r="A27" s="41"/>
      <c r="B27" s="18">
        <f t="shared" si="4"/>
        <v>0</v>
      </c>
      <c r="C27" s="42"/>
      <c r="D27" s="43"/>
      <c r="E27" s="44"/>
      <c r="F27" s="18">
        <f t="shared" si="5"/>
        <v>0</v>
      </c>
      <c r="G27" s="27"/>
      <c r="H27" s="28"/>
      <c r="I27" s="29"/>
      <c r="J27" s="69"/>
      <c r="K27" s="96"/>
      <c r="L27" s="49"/>
      <c r="M27" s="77"/>
      <c r="N27" s="77"/>
      <c r="O27" s="49"/>
    </row>
    <row r="28" s="1" customFormat="1" ht="18" customHeight="1" spans="1:15">
      <c r="A28" s="41"/>
      <c r="B28" s="18">
        <f t="shared" si="4"/>
        <v>0</v>
      </c>
      <c r="C28" s="42"/>
      <c r="D28" s="43"/>
      <c r="E28" s="44"/>
      <c r="F28" s="18">
        <f t="shared" si="5"/>
        <v>0</v>
      </c>
      <c r="G28" s="27"/>
      <c r="H28" s="28"/>
      <c r="I28" s="79">
        <v>393361</v>
      </c>
      <c r="J28" s="82" t="s">
        <v>41</v>
      </c>
      <c r="K28" s="81" t="s">
        <v>61</v>
      </c>
      <c r="L28" s="49"/>
      <c r="M28" s="77"/>
      <c r="N28" s="77"/>
      <c r="O28" s="49"/>
    </row>
    <row r="29" s="1" customFormat="1" ht="18" customHeight="1" spans="1:15">
      <c r="A29" s="41"/>
      <c r="B29" s="18">
        <f t="shared" si="4"/>
        <v>0</v>
      </c>
      <c r="C29" s="42"/>
      <c r="D29" s="43"/>
      <c r="E29" s="44"/>
      <c r="F29" s="18">
        <f t="shared" si="5"/>
        <v>0</v>
      </c>
      <c r="G29" s="27"/>
      <c r="H29" s="28"/>
      <c r="I29" s="79">
        <v>45000</v>
      </c>
      <c r="J29" s="82" t="s">
        <v>41</v>
      </c>
      <c r="K29" s="81" t="s">
        <v>62</v>
      </c>
      <c r="L29" s="49"/>
      <c r="M29" s="77"/>
      <c r="N29" s="77"/>
      <c r="O29" s="49"/>
    </row>
    <row r="30" s="1" customFormat="1" ht="18" customHeight="1" spans="1:15">
      <c r="A30" s="41"/>
      <c r="B30" s="18">
        <f t="shared" si="4"/>
        <v>0</v>
      </c>
      <c r="C30" s="42"/>
      <c r="D30" s="43"/>
      <c r="E30" s="44"/>
      <c r="F30" s="18">
        <f t="shared" si="5"/>
        <v>0</v>
      </c>
      <c r="G30" s="27"/>
      <c r="H30" s="28"/>
      <c r="I30" s="79">
        <v>2477</v>
      </c>
      <c r="J30" s="82" t="s">
        <v>41</v>
      </c>
      <c r="K30" s="81" t="s">
        <v>54</v>
      </c>
      <c r="L30" s="49"/>
      <c r="M30" s="77"/>
      <c r="N30" s="77"/>
      <c r="O30" s="49"/>
    </row>
    <row r="31" s="1" customFormat="1" ht="18" customHeight="1" spans="1:15">
      <c r="A31" s="41"/>
      <c r="B31" s="18">
        <f t="shared" si="4"/>
        <v>0</v>
      </c>
      <c r="C31" s="42"/>
      <c r="D31" s="43"/>
      <c r="E31" s="44"/>
      <c r="F31" s="18">
        <f t="shared" si="5"/>
        <v>0</v>
      </c>
      <c r="G31" s="27"/>
      <c r="H31" s="28"/>
      <c r="I31" s="29">
        <v>0</v>
      </c>
      <c r="J31" s="94" t="s">
        <v>41</v>
      </c>
      <c r="K31" s="50" t="s">
        <v>42</v>
      </c>
      <c r="L31" s="49"/>
      <c r="M31" s="77"/>
      <c r="N31" s="77"/>
      <c r="O31" s="49"/>
    </row>
    <row r="32" ht="18" customHeight="1" spans="1:15">
      <c r="A32" s="36" t="s">
        <v>21</v>
      </c>
      <c r="B32" s="35">
        <f t="shared" ref="B32:G32" si="6">SUM(B14:B31)</f>
        <v>2389858.41</v>
      </c>
      <c r="C32" s="36"/>
      <c r="D32" s="50"/>
      <c r="E32" s="50"/>
      <c r="F32" s="38">
        <f t="shared" si="6"/>
        <v>310681.59</v>
      </c>
      <c r="G32" s="51">
        <f t="shared" si="6"/>
        <v>2700540</v>
      </c>
      <c r="H32" s="52"/>
      <c r="I32" s="37">
        <f>SUM(I14:I31)</f>
        <v>440838</v>
      </c>
      <c r="J32" s="94" t="s">
        <v>41</v>
      </c>
      <c r="K32" s="50" t="s">
        <v>42</v>
      </c>
      <c r="L32" s="39"/>
      <c r="M32" s="69"/>
      <c r="N32" s="69"/>
      <c r="O32" s="39"/>
    </row>
    <row r="33" ht="18" customHeight="1" spans="1:14">
      <c r="A33" s="53" t="s">
        <v>43</v>
      </c>
      <c r="B33" s="54">
        <f>B11*0.96</f>
        <v>3963302.75229358</v>
      </c>
      <c r="C33" s="53"/>
      <c r="D33" s="55"/>
      <c r="E33" s="55"/>
      <c r="F33" s="54"/>
      <c r="G33" s="56">
        <f>G11-G32</f>
        <v>1799460</v>
      </c>
      <c r="H33" s="22" t="s">
        <v>44</v>
      </c>
      <c r="I33" s="37">
        <f>I11-I32</f>
        <v>3159162</v>
      </c>
      <c r="J33" s="7"/>
      <c r="K33" s="87"/>
      <c r="M33" s="86"/>
      <c r="N33" s="86"/>
    </row>
    <row r="34" ht="18" customHeight="1" spans="1:14">
      <c r="A34" s="53" t="s">
        <v>45</v>
      </c>
      <c r="B34" s="54">
        <f>B33-B32</f>
        <v>1573444.34229358</v>
      </c>
      <c r="C34" s="53"/>
      <c r="D34" s="55"/>
      <c r="E34" s="55"/>
      <c r="F34" s="54"/>
      <c r="G34" s="56"/>
      <c r="H34" s="57"/>
      <c r="I34" s="54"/>
      <c r="J34" s="7"/>
      <c r="K34" s="87"/>
      <c r="M34" s="86"/>
      <c r="N34" s="86"/>
    </row>
    <row r="35" ht="18" customHeight="1" spans="1:3">
      <c r="A35" s="2" t="s">
        <v>46</v>
      </c>
      <c r="C35" s="2"/>
    </row>
    <row r="36" ht="18" customHeight="1" spans="1:7">
      <c r="A36" s="22" t="s">
        <v>47</v>
      </c>
      <c r="B36" s="21" t="s">
        <v>48</v>
      </c>
      <c r="C36" s="39"/>
      <c r="D36" s="22" t="s">
        <v>47</v>
      </c>
      <c r="E36" s="20" t="s">
        <v>16</v>
      </c>
      <c r="F36" s="51" t="s">
        <v>48</v>
      </c>
      <c r="G36" s="16" t="s">
        <v>63</v>
      </c>
    </row>
    <row r="37" ht="18" customHeight="1" spans="1:7">
      <c r="A37" s="39" t="s">
        <v>49</v>
      </c>
      <c r="B37" s="18">
        <f>(B33-B32)*0.25</f>
        <v>393361.085573395</v>
      </c>
      <c r="C37" s="39"/>
      <c r="D37" s="34" t="s">
        <v>50</v>
      </c>
      <c r="E37" s="22" t="s">
        <v>51</v>
      </c>
      <c r="F37" s="59">
        <f>F11-F32</f>
        <v>-21690.764311927</v>
      </c>
      <c r="G37" s="89">
        <f>F7-F18</f>
        <v>-21690.764311927</v>
      </c>
    </row>
    <row r="38" ht="18" customHeight="1" spans="1:7">
      <c r="A38" s="39" t="s">
        <v>52</v>
      </c>
      <c r="B38" s="61"/>
      <c r="C38" s="39"/>
      <c r="D38" s="62" t="s">
        <v>53</v>
      </c>
      <c r="E38" s="14">
        <v>0.05</v>
      </c>
      <c r="F38" s="63">
        <f>F37*E38</f>
        <v>-1084.53821559635</v>
      </c>
      <c r="G38" s="89">
        <f>G37*E38</f>
        <v>-1084.53821559635</v>
      </c>
    </row>
    <row r="39" ht="18" customHeight="1" spans="1:7">
      <c r="A39" s="39" t="s">
        <v>54</v>
      </c>
      <c r="B39" s="61"/>
      <c r="C39" s="39"/>
      <c r="D39" s="62" t="s">
        <v>55</v>
      </c>
      <c r="E39" s="14">
        <v>0.03</v>
      </c>
      <c r="F39" s="63">
        <f>F37*E39</f>
        <v>-650.722929357811</v>
      </c>
      <c r="G39" s="89">
        <f>G37*E39</f>
        <v>-650.722929357811</v>
      </c>
    </row>
    <row r="40" ht="18" customHeight="1" spans="1:7">
      <c r="A40" s="39"/>
      <c r="B40" s="29"/>
      <c r="C40" s="39"/>
      <c r="D40" s="62" t="s">
        <v>56</v>
      </c>
      <c r="E40" s="14">
        <v>0.02</v>
      </c>
      <c r="F40" s="63">
        <f>F37*E40</f>
        <v>-433.81528623854</v>
      </c>
      <c r="G40" s="89">
        <f>G37*E40</f>
        <v>-433.81528623854</v>
      </c>
    </row>
    <row r="41" ht="18" customHeight="1" spans="1:7">
      <c r="A41" s="34" t="s">
        <v>57</v>
      </c>
      <c r="B41" s="35">
        <f>SUM(B37:B40)</f>
        <v>393361.085573395</v>
      </c>
      <c r="C41" s="39"/>
      <c r="D41" s="40" t="s">
        <v>57</v>
      </c>
      <c r="E41" s="34"/>
      <c r="F41" s="59">
        <f>SUM(F37:F40)</f>
        <v>-23859.8407431197</v>
      </c>
      <c r="G41" s="89">
        <v>0</v>
      </c>
    </row>
    <row r="42" ht="18" customHeight="1" spans="3:7">
      <c r="C42" s="2"/>
      <c r="D42" s="12" t="s">
        <v>52</v>
      </c>
      <c r="E42" s="64">
        <v>0.0003</v>
      </c>
      <c r="F42" s="63">
        <f>G11*E42</f>
        <v>1350</v>
      </c>
      <c r="G42" s="89"/>
    </row>
    <row r="43" ht="18" customHeight="1" spans="3:7">
      <c r="C43" s="2"/>
      <c r="D43" s="12" t="s">
        <v>54</v>
      </c>
      <c r="E43" s="64">
        <v>0.0006</v>
      </c>
      <c r="F43" s="63">
        <f>B11*E43</f>
        <v>2477.06422018349</v>
      </c>
      <c r="G43" s="89">
        <f>E43*B7</f>
        <v>2477.06422018349</v>
      </c>
    </row>
    <row r="44" ht="18" customHeight="1" spans="3:7">
      <c r="C44" s="2"/>
      <c r="D44" s="20" t="s">
        <v>57</v>
      </c>
      <c r="E44" s="50"/>
      <c r="F44" s="65">
        <f>F43+F42</f>
        <v>3827.06422018349</v>
      </c>
      <c r="G44" s="89"/>
    </row>
    <row r="45" ht="18" customHeight="1" spans="3:7">
      <c r="C45" s="2"/>
      <c r="D45" s="20" t="s">
        <v>21</v>
      </c>
      <c r="E45" s="36"/>
      <c r="F45" s="65">
        <f>F41+F44</f>
        <v>-20032.7765229362</v>
      </c>
      <c r="G45" s="89"/>
    </row>
    <row r="46" ht="18" customHeight="1" spans="3:7">
      <c r="C46" s="2"/>
      <c r="D46" s="36" t="s">
        <v>49</v>
      </c>
      <c r="E46" s="50"/>
      <c r="F46" s="65">
        <v>0.01</v>
      </c>
      <c r="G46" s="89">
        <f>F46*G7</f>
        <v>45000</v>
      </c>
    </row>
    <row r="47" ht="18" customHeight="1" spans="3:7">
      <c r="C47" s="2"/>
      <c r="D47" s="12" t="s">
        <v>21</v>
      </c>
      <c r="E47" s="12"/>
      <c r="G47" s="89">
        <f>SUM(G37:G46)</f>
        <v>23617.2234770638</v>
      </c>
    </row>
    <row r="48" ht="18" customHeight="1" spans="3:7">
      <c r="C48" s="2"/>
      <c r="D48" s="4" t="s">
        <v>61</v>
      </c>
      <c r="G48" s="88">
        <f>B34*0.25</f>
        <v>393361.085573395</v>
      </c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31" workbookViewId="0">
      <selection activeCell="G53" sqref="G53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2.8833333333333" style="3" customWidth="1"/>
    <col min="7" max="7" width="14.1333333333333" style="5" customWidth="1"/>
    <col min="8" max="8" width="10.8833333333333" style="4" customWidth="1"/>
    <col min="9" max="9" width="13.8833333333333" style="3" customWidth="1"/>
    <col min="10" max="10" width="6.13333333333333" style="72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31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15" t="s">
        <v>58</v>
      </c>
      <c r="G2" s="16" t="s">
        <v>5</v>
      </c>
      <c r="H2" s="17" t="s">
        <v>6</v>
      </c>
      <c r="I2" s="66"/>
      <c r="J2" s="91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 t="s">
        <v>59</v>
      </c>
      <c r="B7" s="18">
        <f t="shared" ref="B7:B10" si="0">G7/(1+C7+E7)</f>
        <v>4128440.36697248</v>
      </c>
      <c r="C7" s="24">
        <v>0.02</v>
      </c>
      <c r="D7" s="25">
        <f t="shared" ref="D7:D10" si="1">G7/(1+E7+C7)*C7</f>
        <v>82568.8073394495</v>
      </c>
      <c r="E7" s="26">
        <v>0.07</v>
      </c>
      <c r="F7" s="18">
        <f t="shared" ref="F7:F10" si="2">G7/(1+C7+E7)*E7</f>
        <v>288990.825688073</v>
      </c>
      <c r="G7" s="27">
        <v>4500000</v>
      </c>
      <c r="H7" s="28">
        <v>44167</v>
      </c>
      <c r="I7" s="29">
        <v>2856000</v>
      </c>
      <c r="J7" s="69"/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27"/>
      <c r="H8" s="28">
        <v>44167</v>
      </c>
      <c r="I8" s="29">
        <v>744000</v>
      </c>
      <c r="J8" s="69"/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2">
        <v>0.07</v>
      </c>
      <c r="F9" s="29">
        <f t="shared" si="2"/>
        <v>0</v>
      </c>
      <c r="G9" s="27"/>
      <c r="H9" s="33"/>
      <c r="I9" s="70"/>
      <c r="J9" s="69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2">
        <v>0.07</v>
      </c>
      <c r="F10" s="29">
        <f t="shared" si="2"/>
        <v>0</v>
      </c>
      <c r="G10" s="27"/>
      <c r="H10" s="28"/>
      <c r="I10" s="29"/>
      <c r="J10" s="69"/>
    </row>
    <row r="11" ht="18" customHeight="1" spans="1:10">
      <c r="A11" s="34" t="s">
        <v>21</v>
      </c>
      <c r="B11" s="35">
        <f t="shared" ref="B11:G11" si="3">SUM(B7:B10)</f>
        <v>4128440.36697248</v>
      </c>
      <c r="C11" s="36"/>
      <c r="D11" s="37">
        <f t="shared" si="3"/>
        <v>82568.8073394495</v>
      </c>
      <c r="E11" s="36"/>
      <c r="F11" s="38">
        <f t="shared" si="3"/>
        <v>288990.825688073</v>
      </c>
      <c r="G11" s="21">
        <f t="shared" si="3"/>
        <v>4500000</v>
      </c>
      <c r="H11" s="39"/>
      <c r="I11" s="37">
        <f>SUM(I7:I10)</f>
        <v>3600000</v>
      </c>
      <c r="J11" s="39"/>
    </row>
    <row r="12" ht="18" customHeight="1" spans="1:12">
      <c r="A12" s="2" t="s">
        <v>22</v>
      </c>
      <c r="J12" s="4"/>
      <c r="K12" s="4"/>
      <c r="L12" s="72"/>
    </row>
    <row r="13" ht="18" customHeight="1" spans="1:15">
      <c r="A13" s="40" t="s">
        <v>23</v>
      </c>
      <c r="B13" s="21" t="s">
        <v>24</v>
      </c>
      <c r="C13" s="20" t="s">
        <v>25</v>
      </c>
      <c r="D13" s="20" t="s">
        <v>26</v>
      </c>
      <c r="E13" s="20" t="s">
        <v>16</v>
      </c>
      <c r="F13" s="21" t="s">
        <v>27</v>
      </c>
      <c r="G13" s="21" t="s">
        <v>14</v>
      </c>
      <c r="H13" s="20" t="s">
        <v>28</v>
      </c>
      <c r="I13" s="21" t="s">
        <v>29</v>
      </c>
      <c r="J13" s="20" t="s">
        <v>20</v>
      </c>
      <c r="K13" s="73" t="s">
        <v>30</v>
      </c>
      <c r="L13" s="22" t="s">
        <v>31</v>
      </c>
      <c r="M13" s="22" t="s">
        <v>32</v>
      </c>
      <c r="N13" s="22" t="s">
        <v>33</v>
      </c>
      <c r="O13" s="22" t="s">
        <v>34</v>
      </c>
    </row>
    <row r="14" s="1" customFormat="1" ht="18" customHeight="1" spans="1:15">
      <c r="A14" s="41"/>
      <c r="B14" s="18">
        <f t="shared" ref="B14:B31" si="4">ROUND(G14/(1+E14),2)</f>
        <v>0</v>
      </c>
      <c r="C14" s="42"/>
      <c r="D14" s="43"/>
      <c r="E14" s="44"/>
      <c r="F14" s="18">
        <f t="shared" ref="F14:F31" si="5">ROUND(G14/(1+E14)*E14,2)</f>
        <v>0</v>
      </c>
      <c r="G14" s="27"/>
      <c r="H14" s="45">
        <v>44141</v>
      </c>
      <c r="I14" s="25">
        <v>-189000</v>
      </c>
      <c r="J14" s="74" t="s">
        <v>35</v>
      </c>
      <c r="K14" s="75" t="s">
        <v>36</v>
      </c>
      <c r="L14" s="76" t="s">
        <v>37</v>
      </c>
      <c r="M14" s="77"/>
      <c r="N14" s="77"/>
      <c r="O14" s="49"/>
    </row>
    <row r="15" s="1" customFormat="1" ht="18" customHeight="1" spans="1:15">
      <c r="A15" s="41"/>
      <c r="B15" s="18">
        <f t="shared" si="4"/>
        <v>0</v>
      </c>
      <c r="C15" s="42"/>
      <c r="D15" s="43"/>
      <c r="E15" s="44"/>
      <c r="F15" s="18">
        <f t="shared" si="5"/>
        <v>0</v>
      </c>
      <c r="G15" s="27"/>
      <c r="H15" s="45">
        <v>44141</v>
      </c>
      <c r="I15" s="25">
        <v>189000</v>
      </c>
      <c r="J15" s="74" t="s">
        <v>38</v>
      </c>
      <c r="K15" s="75" t="s">
        <v>39</v>
      </c>
      <c r="L15" s="76" t="s">
        <v>40</v>
      </c>
      <c r="M15" s="77"/>
      <c r="N15" s="77"/>
      <c r="O15" s="49"/>
    </row>
    <row r="16" s="1" customFormat="1" ht="18" customHeight="1" spans="1:15">
      <c r="A16" s="41"/>
      <c r="B16" s="18">
        <f t="shared" si="4"/>
        <v>0</v>
      </c>
      <c r="C16" s="42"/>
      <c r="D16" s="43"/>
      <c r="E16" s="44"/>
      <c r="F16" s="18">
        <f t="shared" si="5"/>
        <v>0</v>
      </c>
      <c r="G16" s="27"/>
      <c r="H16" s="46">
        <v>44151</v>
      </c>
      <c r="I16" s="31">
        <v>-276290</v>
      </c>
      <c r="J16" s="74" t="s">
        <v>35</v>
      </c>
      <c r="K16" s="75" t="s">
        <v>36</v>
      </c>
      <c r="L16" s="76" t="s">
        <v>37</v>
      </c>
      <c r="M16" s="74"/>
      <c r="N16" s="77"/>
      <c r="O16" s="49"/>
    </row>
    <row r="17" s="1" customFormat="1" ht="18" customHeight="1" spans="2:15">
      <c r="B17" s="18">
        <f t="shared" si="4"/>
        <v>0</v>
      </c>
      <c r="C17" s="42"/>
      <c r="D17" s="43"/>
      <c r="E17" s="44"/>
      <c r="F17" s="18">
        <f t="shared" si="5"/>
        <v>0</v>
      </c>
      <c r="G17" s="27"/>
      <c r="H17" s="46">
        <v>44151</v>
      </c>
      <c r="I17" s="31">
        <v>276290</v>
      </c>
      <c r="J17" s="74" t="s">
        <v>38</v>
      </c>
      <c r="K17" s="75" t="s">
        <v>39</v>
      </c>
      <c r="L17" s="76" t="s">
        <v>40</v>
      </c>
      <c r="M17" s="74"/>
      <c r="N17" s="77"/>
      <c r="O17" s="49"/>
    </row>
    <row r="18" s="1" customFormat="1" ht="18" customHeight="1" spans="1:15">
      <c r="A18" s="41">
        <v>44154</v>
      </c>
      <c r="B18" s="18">
        <f t="shared" si="4"/>
        <v>2389858.41</v>
      </c>
      <c r="C18" s="42"/>
      <c r="D18" s="43" t="s">
        <v>60</v>
      </c>
      <c r="E18" s="47">
        <v>0.13</v>
      </c>
      <c r="F18" s="18">
        <f t="shared" si="5"/>
        <v>310681.59</v>
      </c>
      <c r="G18" s="27">
        <v>2700540</v>
      </c>
      <c r="H18" s="48">
        <v>44173</v>
      </c>
      <c r="I18" s="79">
        <v>2100000</v>
      </c>
      <c r="J18" s="80" t="s">
        <v>38</v>
      </c>
      <c r="K18" s="81" t="s">
        <v>39</v>
      </c>
      <c r="L18" s="76" t="s">
        <v>40</v>
      </c>
      <c r="M18" s="74"/>
      <c r="N18" s="77"/>
      <c r="O18" s="49"/>
    </row>
    <row r="19" s="1" customFormat="1" ht="18" customHeight="1" spans="1:15">
      <c r="A19" s="41"/>
      <c r="B19" s="18">
        <f t="shared" si="4"/>
        <v>0</v>
      </c>
      <c r="C19" s="42"/>
      <c r="D19" s="43"/>
      <c r="E19" s="44"/>
      <c r="F19" s="18">
        <f t="shared" si="5"/>
        <v>0</v>
      </c>
      <c r="G19" s="27"/>
      <c r="H19" s="46"/>
      <c r="I19" s="31"/>
      <c r="J19" s="78"/>
      <c r="K19" s="75"/>
      <c r="L19" s="76"/>
      <c r="M19" s="74"/>
      <c r="N19" s="77"/>
      <c r="O19" s="49"/>
    </row>
    <row r="20" s="1" customFormat="1" ht="18" customHeight="1" spans="1:15">
      <c r="A20" s="41"/>
      <c r="B20" s="18">
        <f t="shared" si="4"/>
        <v>0</v>
      </c>
      <c r="C20" s="42"/>
      <c r="D20" s="43"/>
      <c r="E20" s="44"/>
      <c r="F20" s="18">
        <f t="shared" si="5"/>
        <v>0</v>
      </c>
      <c r="G20" s="27"/>
      <c r="H20" s="46"/>
      <c r="I20" s="31"/>
      <c r="J20" s="78"/>
      <c r="K20" s="75"/>
      <c r="L20" s="76"/>
      <c r="M20" s="74"/>
      <c r="N20" s="77"/>
      <c r="O20" s="49"/>
    </row>
    <row r="21" s="1" customFormat="1" ht="18" customHeight="1" spans="1:15">
      <c r="A21" s="41"/>
      <c r="B21" s="18">
        <f t="shared" si="4"/>
        <v>0</v>
      </c>
      <c r="C21" s="42"/>
      <c r="D21" s="43"/>
      <c r="E21" s="44"/>
      <c r="F21" s="18">
        <f t="shared" si="5"/>
        <v>0</v>
      </c>
      <c r="G21" s="27"/>
      <c r="H21" s="46"/>
      <c r="I21" s="31"/>
      <c r="J21" s="78"/>
      <c r="K21" s="75"/>
      <c r="L21" s="76"/>
      <c r="M21" s="74"/>
      <c r="N21" s="77"/>
      <c r="O21" s="49"/>
    </row>
    <row r="22" s="1" customFormat="1" ht="18" customHeight="1" spans="1:15">
      <c r="A22" s="41"/>
      <c r="B22" s="18">
        <f t="shared" si="4"/>
        <v>0</v>
      </c>
      <c r="C22" s="42"/>
      <c r="D22" s="43"/>
      <c r="E22" s="44"/>
      <c r="F22" s="18">
        <f t="shared" si="5"/>
        <v>0</v>
      </c>
      <c r="G22" s="27"/>
      <c r="H22" s="46"/>
      <c r="I22" s="31"/>
      <c r="J22" s="78"/>
      <c r="K22" s="75"/>
      <c r="L22" s="76"/>
      <c r="M22" s="74"/>
      <c r="N22" s="77"/>
      <c r="O22" s="49"/>
    </row>
    <row r="23" s="1" customFormat="1" ht="18" customHeight="1" spans="1:15">
      <c r="A23" s="41"/>
      <c r="B23" s="18">
        <f t="shared" si="4"/>
        <v>0</v>
      </c>
      <c r="C23" s="42"/>
      <c r="D23" s="43"/>
      <c r="E23" s="44"/>
      <c r="F23" s="18">
        <f t="shared" si="5"/>
        <v>0</v>
      </c>
      <c r="G23" s="27"/>
      <c r="H23" s="46"/>
      <c r="I23" s="31"/>
      <c r="J23" s="78"/>
      <c r="K23" s="75"/>
      <c r="L23" s="76"/>
      <c r="M23" s="74"/>
      <c r="N23" s="77"/>
      <c r="O23" s="49"/>
    </row>
    <row r="24" s="1" customFormat="1" ht="18" customHeight="1" spans="1:15">
      <c r="A24" s="41"/>
      <c r="B24" s="18">
        <f t="shared" si="4"/>
        <v>0</v>
      </c>
      <c r="C24" s="42"/>
      <c r="D24" s="43"/>
      <c r="E24" s="44"/>
      <c r="F24" s="18">
        <f t="shared" si="5"/>
        <v>0</v>
      </c>
      <c r="G24" s="27"/>
      <c r="H24" s="46"/>
      <c r="I24" s="31"/>
      <c r="J24" s="78"/>
      <c r="K24" s="75"/>
      <c r="L24" s="76"/>
      <c r="M24" s="74"/>
      <c r="N24" s="77"/>
      <c r="O24" s="49"/>
    </row>
    <row r="25" s="1" customFormat="1" ht="18" customHeight="1" spans="1:15">
      <c r="A25" s="41"/>
      <c r="B25" s="18">
        <f t="shared" si="4"/>
        <v>0</v>
      </c>
      <c r="C25" s="42"/>
      <c r="D25" s="43"/>
      <c r="E25" s="44"/>
      <c r="F25" s="18">
        <f t="shared" si="5"/>
        <v>0</v>
      </c>
      <c r="G25" s="27"/>
      <c r="H25" s="48">
        <v>44173</v>
      </c>
      <c r="I25" s="79">
        <v>400</v>
      </c>
      <c r="J25" s="92" t="s">
        <v>41</v>
      </c>
      <c r="K25" s="93" t="s">
        <v>64</v>
      </c>
      <c r="L25" s="76"/>
      <c r="M25" s="74"/>
      <c r="N25" s="77"/>
      <c r="O25" s="49"/>
    </row>
    <row r="26" s="1" customFormat="1" ht="18" customHeight="1" spans="1:15">
      <c r="A26" s="41"/>
      <c r="B26" s="18">
        <f t="shared" si="4"/>
        <v>0</v>
      </c>
      <c r="C26" s="42"/>
      <c r="D26" s="43"/>
      <c r="E26" s="44"/>
      <c r="F26" s="18">
        <f t="shared" si="5"/>
        <v>0</v>
      </c>
      <c r="G26" s="27"/>
      <c r="H26" s="48">
        <v>44173</v>
      </c>
      <c r="I26" s="79">
        <v>1000</v>
      </c>
      <c r="J26" s="82" t="s">
        <v>41</v>
      </c>
      <c r="K26" s="81" t="s">
        <v>65</v>
      </c>
      <c r="L26" s="76"/>
      <c r="M26" s="74"/>
      <c r="N26" s="77"/>
      <c r="O26" s="49"/>
    </row>
    <row r="27" s="1" customFormat="1" ht="18" customHeight="1" spans="1:15">
      <c r="A27" s="41"/>
      <c r="B27" s="18">
        <f t="shared" si="4"/>
        <v>0</v>
      </c>
      <c r="C27" s="42"/>
      <c r="D27" s="43"/>
      <c r="E27" s="44"/>
      <c r="F27" s="18">
        <f t="shared" si="5"/>
        <v>0</v>
      </c>
      <c r="G27" s="27"/>
      <c r="H27" s="48">
        <v>44173</v>
      </c>
      <c r="I27" s="79">
        <v>72000</v>
      </c>
      <c r="J27" s="82" t="s">
        <v>41</v>
      </c>
      <c r="K27" s="81" t="s">
        <v>66</v>
      </c>
      <c r="L27" s="76"/>
      <c r="M27" s="74"/>
      <c r="N27" s="77"/>
      <c r="O27" s="49"/>
    </row>
    <row r="28" s="1" customFormat="1" ht="18" customHeight="1" spans="1:15">
      <c r="A28" s="41"/>
      <c r="B28" s="18">
        <f t="shared" si="4"/>
        <v>0</v>
      </c>
      <c r="C28" s="42"/>
      <c r="D28" s="43"/>
      <c r="E28" s="44"/>
      <c r="F28" s="18">
        <f t="shared" si="5"/>
        <v>0</v>
      </c>
      <c r="G28" s="27"/>
      <c r="H28" s="48">
        <v>44173</v>
      </c>
      <c r="I28" s="79">
        <v>393361</v>
      </c>
      <c r="J28" s="82" t="s">
        <v>41</v>
      </c>
      <c r="K28" s="81" t="s">
        <v>61</v>
      </c>
      <c r="L28" s="76"/>
      <c r="M28" s="74"/>
      <c r="N28" s="77"/>
      <c r="O28" s="49"/>
    </row>
    <row r="29" s="1" customFormat="1" ht="18" customHeight="1" spans="1:15">
      <c r="A29" s="41"/>
      <c r="B29" s="18">
        <f t="shared" si="4"/>
        <v>0</v>
      </c>
      <c r="C29" s="42"/>
      <c r="D29" s="43"/>
      <c r="E29" s="44"/>
      <c r="F29" s="18">
        <f t="shared" si="5"/>
        <v>0</v>
      </c>
      <c r="G29" s="27"/>
      <c r="H29" s="48">
        <v>44173</v>
      </c>
      <c r="I29" s="79">
        <v>45000</v>
      </c>
      <c r="J29" s="82" t="s">
        <v>41</v>
      </c>
      <c r="K29" s="81" t="s">
        <v>62</v>
      </c>
      <c r="L29" s="76"/>
      <c r="M29" s="74"/>
      <c r="N29" s="77"/>
      <c r="O29" s="49"/>
    </row>
    <row r="30" s="1" customFormat="1" ht="18" customHeight="1" spans="1:15">
      <c r="A30" s="41"/>
      <c r="B30" s="18">
        <f t="shared" si="4"/>
        <v>0</v>
      </c>
      <c r="C30" s="42"/>
      <c r="D30" s="43"/>
      <c r="E30" s="44"/>
      <c r="F30" s="18">
        <f t="shared" si="5"/>
        <v>0</v>
      </c>
      <c r="G30" s="27"/>
      <c r="H30" s="48">
        <v>44173</v>
      </c>
      <c r="I30" s="79">
        <v>2477</v>
      </c>
      <c r="J30" s="82" t="s">
        <v>41</v>
      </c>
      <c r="K30" s="81" t="s">
        <v>54</v>
      </c>
      <c r="L30" s="76"/>
      <c r="M30" s="74"/>
      <c r="N30" s="77"/>
      <c r="O30" s="49"/>
    </row>
    <row r="31" s="1" customFormat="1" ht="18" customHeight="1" spans="1:15">
      <c r="A31" s="41"/>
      <c r="B31" s="18">
        <f t="shared" si="4"/>
        <v>0</v>
      </c>
      <c r="C31" s="42"/>
      <c r="D31" s="43"/>
      <c r="E31" s="44"/>
      <c r="F31" s="18">
        <f t="shared" si="5"/>
        <v>0</v>
      </c>
      <c r="G31" s="27"/>
      <c r="H31" s="49"/>
      <c r="I31" s="49"/>
      <c r="J31" s="49"/>
      <c r="K31" s="49"/>
      <c r="L31" s="76"/>
      <c r="M31" s="74"/>
      <c r="N31" s="77"/>
      <c r="O31" s="49"/>
    </row>
    <row r="32" ht="18" customHeight="1" spans="1:15">
      <c r="A32" s="36" t="s">
        <v>21</v>
      </c>
      <c r="B32" s="35">
        <f t="shared" ref="B32:G32" si="6">SUM(B14:B31)</f>
        <v>2389858.41</v>
      </c>
      <c r="C32" s="36"/>
      <c r="D32" s="50"/>
      <c r="E32" s="50"/>
      <c r="F32" s="38">
        <f t="shared" si="6"/>
        <v>310681.59</v>
      </c>
      <c r="G32" s="51">
        <f t="shared" si="6"/>
        <v>2700540</v>
      </c>
      <c r="H32" s="52"/>
      <c r="I32" s="37">
        <f>SUM(I14:I30)</f>
        <v>2614238</v>
      </c>
      <c r="J32" s="94"/>
      <c r="K32" s="50"/>
      <c r="L32" s="39"/>
      <c r="M32" s="69"/>
      <c r="N32" s="69"/>
      <c r="O32" s="39"/>
    </row>
    <row r="33" ht="18" customHeight="1" spans="1:14">
      <c r="A33" s="53" t="s">
        <v>43</v>
      </c>
      <c r="B33" s="54">
        <f>B11*0.96</f>
        <v>3963302.75229358</v>
      </c>
      <c r="C33" s="53"/>
      <c r="D33" s="55"/>
      <c r="E33" s="55"/>
      <c r="F33" s="54"/>
      <c r="G33" s="56">
        <f>G11-G32</f>
        <v>1799460</v>
      </c>
      <c r="H33" s="22" t="s">
        <v>44</v>
      </c>
      <c r="I33" s="37">
        <f>I11-I32</f>
        <v>985762</v>
      </c>
      <c r="J33" s="7"/>
      <c r="K33" s="87"/>
      <c r="M33" s="86"/>
      <c r="N33" s="86"/>
    </row>
    <row r="34" ht="18" customHeight="1" spans="1:14">
      <c r="A34" s="53" t="s">
        <v>45</v>
      </c>
      <c r="B34" s="54">
        <f>B33-B32</f>
        <v>1573444.34229358</v>
      </c>
      <c r="C34" s="53"/>
      <c r="D34" s="55"/>
      <c r="E34" s="55"/>
      <c r="F34" s="54"/>
      <c r="G34" s="56"/>
      <c r="H34" s="57"/>
      <c r="I34" s="54"/>
      <c r="J34" s="7"/>
      <c r="K34" s="87"/>
      <c r="M34" s="86"/>
      <c r="N34" s="86"/>
    </row>
    <row r="35" ht="18" customHeight="1" spans="1:3">
      <c r="A35" s="2" t="s">
        <v>46</v>
      </c>
      <c r="C35" s="2"/>
    </row>
    <row r="36" ht="18" customHeight="1" spans="1:7">
      <c r="A36" s="22" t="s">
        <v>47</v>
      </c>
      <c r="B36" s="21" t="s">
        <v>48</v>
      </c>
      <c r="C36" s="39"/>
      <c r="D36" s="22" t="s">
        <v>47</v>
      </c>
      <c r="E36" s="20" t="s">
        <v>16</v>
      </c>
      <c r="F36" s="51" t="s">
        <v>48</v>
      </c>
      <c r="G36" s="16" t="s">
        <v>63</v>
      </c>
    </row>
    <row r="37" ht="18" customHeight="1" spans="1:7">
      <c r="A37" s="39" t="s">
        <v>49</v>
      </c>
      <c r="B37" s="18">
        <f>(B33-B32)*0.25</f>
        <v>393361.085573394</v>
      </c>
      <c r="C37" s="39"/>
      <c r="D37" s="34" t="s">
        <v>50</v>
      </c>
      <c r="E37" s="22" t="s">
        <v>51</v>
      </c>
      <c r="F37" s="59">
        <f>F11-F32</f>
        <v>-21690.7643119266</v>
      </c>
      <c r="G37" s="89">
        <f>F7-F18</f>
        <v>-21690.7643119266</v>
      </c>
    </row>
    <row r="38" ht="18" customHeight="1" spans="1:7">
      <c r="A38" s="39" t="s">
        <v>52</v>
      </c>
      <c r="B38" s="61"/>
      <c r="C38" s="39"/>
      <c r="D38" s="62" t="s">
        <v>53</v>
      </c>
      <c r="E38" s="14">
        <v>0.05</v>
      </c>
      <c r="F38" s="63">
        <f>F37*E38</f>
        <v>-1084.53821559633</v>
      </c>
      <c r="G38" s="89">
        <f>G37*E38</f>
        <v>-1084.53821559633</v>
      </c>
    </row>
    <row r="39" ht="18" customHeight="1" spans="1:7">
      <c r="A39" s="39" t="s">
        <v>54</v>
      </c>
      <c r="B39" s="61"/>
      <c r="C39" s="39"/>
      <c r="D39" s="62" t="s">
        <v>55</v>
      </c>
      <c r="E39" s="14">
        <v>0.03</v>
      </c>
      <c r="F39" s="63">
        <f>F37*E39</f>
        <v>-650.722929357798</v>
      </c>
      <c r="G39" s="89">
        <f>G37*E39</f>
        <v>-650.722929357798</v>
      </c>
    </row>
    <row r="40" ht="18" customHeight="1" spans="1:7">
      <c r="A40" s="39"/>
      <c r="B40" s="29"/>
      <c r="C40" s="39"/>
      <c r="D40" s="62" t="s">
        <v>56</v>
      </c>
      <c r="E40" s="14">
        <v>0.02</v>
      </c>
      <c r="F40" s="63">
        <f>F37*E40</f>
        <v>-433.815286238532</v>
      </c>
      <c r="G40" s="89">
        <f>G37*E40</f>
        <v>-433.815286238532</v>
      </c>
    </row>
    <row r="41" ht="18" customHeight="1" spans="1:11">
      <c r="A41" s="34" t="s">
        <v>57</v>
      </c>
      <c r="B41" s="35">
        <f>SUM(B37:B40)</f>
        <v>393361.085573394</v>
      </c>
      <c r="C41" s="39"/>
      <c r="D41" s="40" t="s">
        <v>57</v>
      </c>
      <c r="E41" s="34"/>
      <c r="F41" s="59">
        <f>SUM(F37:F40)</f>
        <v>-23859.8407431193</v>
      </c>
      <c r="G41" s="89">
        <v>0</v>
      </c>
      <c r="K41" s="7">
        <f>3600000*0.02</f>
        <v>72000</v>
      </c>
    </row>
    <row r="42" ht="18" customHeight="1" spans="3:7">
      <c r="C42" s="2"/>
      <c r="D42" s="12" t="s">
        <v>52</v>
      </c>
      <c r="E42" s="64">
        <v>0.0003</v>
      </c>
      <c r="F42" s="63">
        <f>G11*E42</f>
        <v>1350</v>
      </c>
      <c r="G42" s="89"/>
    </row>
    <row r="43" ht="18" customHeight="1" spans="3:7">
      <c r="C43" s="2"/>
      <c r="D43" s="12" t="s">
        <v>54</v>
      </c>
      <c r="E43" s="64">
        <v>0.0006</v>
      </c>
      <c r="F43" s="63">
        <f>B11*E43</f>
        <v>2477.06422018349</v>
      </c>
      <c r="G43" s="89">
        <f>E43*B7</f>
        <v>2477.06422018349</v>
      </c>
    </row>
    <row r="44" ht="18" customHeight="1" spans="3:7">
      <c r="C44" s="2"/>
      <c r="D44" s="20" t="s">
        <v>57</v>
      </c>
      <c r="E44" s="50"/>
      <c r="F44" s="65">
        <f>F43+F42</f>
        <v>3827.06422018349</v>
      </c>
      <c r="G44" s="89"/>
    </row>
    <row r="45" ht="18" customHeight="1" spans="3:7">
      <c r="C45" s="2"/>
      <c r="D45" s="20" t="s">
        <v>21</v>
      </c>
      <c r="E45" s="36"/>
      <c r="F45" s="65">
        <f>F41+F44</f>
        <v>-20032.7765229358</v>
      </c>
      <c r="G45" s="89"/>
    </row>
    <row r="46" ht="18" customHeight="1" spans="3:7">
      <c r="C46" s="2"/>
      <c r="D46" s="36" t="s">
        <v>49</v>
      </c>
      <c r="E46" s="50"/>
      <c r="F46" s="65">
        <v>0.01</v>
      </c>
      <c r="G46" s="89">
        <f>F46*G7</f>
        <v>45000</v>
      </c>
    </row>
    <row r="47" ht="18" customHeight="1" spans="3:7">
      <c r="C47" s="2"/>
      <c r="D47" s="12" t="s">
        <v>21</v>
      </c>
      <c r="E47" s="12"/>
      <c r="G47" s="89"/>
    </row>
    <row r="48" ht="18" customHeight="1" spans="3:7">
      <c r="C48" s="2"/>
      <c r="D48" s="4" t="s">
        <v>61</v>
      </c>
      <c r="G48" s="88">
        <f>B34*0.25</f>
        <v>393361.085573394</v>
      </c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5"/>
  <sheetViews>
    <sheetView topLeftCell="A36" workbookViewId="0">
      <selection activeCell="G60" sqref="G60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2.8833333333333" style="3" customWidth="1"/>
    <col min="7" max="7" width="14.1333333333333" style="5" customWidth="1"/>
    <col min="8" max="8" width="10.8833333333333" style="4" customWidth="1"/>
    <col min="9" max="9" width="13.8833333333333" style="3" customWidth="1"/>
    <col min="10" max="10" width="6.13333333333333" style="6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31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15" t="s">
        <v>58</v>
      </c>
      <c r="G2" s="16" t="s">
        <v>5</v>
      </c>
      <c r="H2" s="17" t="s">
        <v>6</v>
      </c>
      <c r="I2" s="66"/>
      <c r="J2" s="67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 t="s">
        <v>59</v>
      </c>
      <c r="B7" s="18">
        <f t="shared" ref="B7:B10" si="0">G7/(1+C7+E7)</f>
        <v>4128440.36697248</v>
      </c>
      <c r="C7" s="24">
        <v>0.02</v>
      </c>
      <c r="D7" s="25">
        <f t="shared" ref="D7:D10" si="1">G7/(1+E7+C7)*C7</f>
        <v>82568.8073394495</v>
      </c>
      <c r="E7" s="26">
        <v>0.07</v>
      </c>
      <c r="F7" s="18">
        <f t="shared" ref="F7:F10" si="2">G7/(1+C7+E7)*E7</f>
        <v>288990.825688073</v>
      </c>
      <c r="G7" s="27">
        <v>4500000</v>
      </c>
      <c r="H7" s="28">
        <v>44167</v>
      </c>
      <c r="I7" s="29">
        <v>2856000</v>
      </c>
      <c r="J7" s="69" t="s">
        <v>38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27"/>
      <c r="H8" s="28">
        <v>44167</v>
      </c>
      <c r="I8" s="29">
        <v>744000</v>
      </c>
      <c r="J8" s="69" t="s">
        <v>38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2">
        <v>0.07</v>
      </c>
      <c r="F9" s="29">
        <f t="shared" si="2"/>
        <v>0</v>
      </c>
      <c r="G9" s="27"/>
      <c r="H9" s="33">
        <v>44181</v>
      </c>
      <c r="I9" s="70">
        <v>714000</v>
      </c>
      <c r="J9" s="69" t="s">
        <v>67</v>
      </c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2">
        <v>0.07</v>
      </c>
      <c r="F10" s="29">
        <f t="shared" si="2"/>
        <v>0</v>
      </c>
      <c r="G10" s="27"/>
      <c r="H10" s="28"/>
      <c r="I10" s="29"/>
      <c r="J10" s="69"/>
    </row>
    <row r="11" ht="18" customHeight="1" spans="1:10">
      <c r="A11" s="34" t="s">
        <v>21</v>
      </c>
      <c r="B11" s="35">
        <f t="shared" ref="B11:G11" si="3">SUM(B7:B10)</f>
        <v>4128440.36697248</v>
      </c>
      <c r="C11" s="36"/>
      <c r="D11" s="37">
        <f t="shared" si="3"/>
        <v>82568.8073394495</v>
      </c>
      <c r="E11" s="36"/>
      <c r="F11" s="38">
        <f t="shared" si="3"/>
        <v>288990.825688073</v>
      </c>
      <c r="G11" s="21">
        <f t="shared" si="3"/>
        <v>4500000</v>
      </c>
      <c r="H11" s="39"/>
      <c r="I11" s="37">
        <f>SUM(I7:I10)</f>
        <v>4314000</v>
      </c>
      <c r="J11" s="69"/>
    </row>
    <row r="12" ht="18" customHeight="1" spans="1:12">
      <c r="A12" s="2" t="s">
        <v>22</v>
      </c>
      <c r="J12" s="71"/>
      <c r="K12" s="4"/>
      <c r="L12" s="72"/>
    </row>
    <row r="13" ht="18" customHeight="1" spans="1:15">
      <c r="A13" s="40" t="s">
        <v>23</v>
      </c>
      <c r="B13" s="21" t="s">
        <v>24</v>
      </c>
      <c r="C13" s="20" t="s">
        <v>25</v>
      </c>
      <c r="D13" s="20" t="s">
        <v>26</v>
      </c>
      <c r="E13" s="20" t="s">
        <v>16</v>
      </c>
      <c r="F13" s="21" t="s">
        <v>27</v>
      </c>
      <c r="G13" s="21" t="s">
        <v>14</v>
      </c>
      <c r="H13" s="20" t="s">
        <v>28</v>
      </c>
      <c r="I13" s="21" t="s">
        <v>29</v>
      </c>
      <c r="J13" s="20" t="s">
        <v>20</v>
      </c>
      <c r="K13" s="73" t="s">
        <v>30</v>
      </c>
      <c r="L13" s="22" t="s">
        <v>31</v>
      </c>
      <c r="M13" s="22" t="s">
        <v>32</v>
      </c>
      <c r="N13" s="22" t="s">
        <v>33</v>
      </c>
      <c r="O13" s="22" t="s">
        <v>34</v>
      </c>
    </row>
    <row r="14" s="1" customFormat="1" ht="18" hidden="1" customHeight="1" spans="1:15">
      <c r="A14" s="41"/>
      <c r="B14" s="18">
        <f t="shared" ref="B14:B21" si="4">ROUND(G14/(1+E14),2)</f>
        <v>0</v>
      </c>
      <c r="C14" s="42"/>
      <c r="D14" s="43"/>
      <c r="E14" s="44"/>
      <c r="F14" s="18">
        <f t="shared" ref="F14:F21" si="5">ROUND(G14/(1+E14)*E14,2)</f>
        <v>0</v>
      </c>
      <c r="G14" s="27"/>
      <c r="H14" s="45">
        <v>44141</v>
      </c>
      <c r="I14" s="25">
        <v>-189000</v>
      </c>
      <c r="J14" s="74" t="s">
        <v>35</v>
      </c>
      <c r="K14" s="75" t="s">
        <v>36</v>
      </c>
      <c r="L14" s="76" t="s">
        <v>37</v>
      </c>
      <c r="M14" s="77"/>
      <c r="N14" s="77"/>
      <c r="O14" s="49"/>
    </row>
    <row r="15" s="1" customFormat="1" ht="18" customHeight="1" spans="1:15">
      <c r="A15" s="41"/>
      <c r="B15" s="18">
        <f t="shared" si="4"/>
        <v>0</v>
      </c>
      <c r="C15" s="42"/>
      <c r="D15" s="43"/>
      <c r="E15" s="44"/>
      <c r="F15" s="18">
        <f t="shared" si="5"/>
        <v>0</v>
      </c>
      <c r="G15" s="27"/>
      <c r="H15" s="45">
        <v>44141</v>
      </c>
      <c r="I15" s="25">
        <v>189000</v>
      </c>
      <c r="J15" s="74" t="s">
        <v>38</v>
      </c>
      <c r="K15" s="75" t="s">
        <v>39</v>
      </c>
      <c r="L15" s="76" t="s">
        <v>40</v>
      </c>
      <c r="M15" s="77"/>
      <c r="N15" s="77"/>
      <c r="O15" s="49"/>
    </row>
    <row r="16" s="1" customFormat="1" ht="18" hidden="1" customHeight="1" spans="1:15">
      <c r="A16" s="41"/>
      <c r="B16" s="18">
        <f t="shared" si="4"/>
        <v>0</v>
      </c>
      <c r="C16" s="42"/>
      <c r="D16" s="43"/>
      <c r="E16" s="44"/>
      <c r="F16" s="18">
        <f t="shared" si="5"/>
        <v>0</v>
      </c>
      <c r="G16" s="27"/>
      <c r="H16" s="46">
        <v>44151</v>
      </c>
      <c r="I16" s="31">
        <v>-276290</v>
      </c>
      <c r="J16" s="74" t="s">
        <v>35</v>
      </c>
      <c r="K16" s="75" t="s">
        <v>36</v>
      </c>
      <c r="L16" s="76" t="s">
        <v>37</v>
      </c>
      <c r="M16" s="74"/>
      <c r="N16" s="77"/>
      <c r="O16" s="49"/>
    </row>
    <row r="17" s="1" customFormat="1" ht="18" customHeight="1" spans="2:15">
      <c r="B17" s="18">
        <f t="shared" si="4"/>
        <v>0</v>
      </c>
      <c r="C17" s="42"/>
      <c r="D17" s="43"/>
      <c r="E17" s="44"/>
      <c r="F17" s="18">
        <f t="shared" si="5"/>
        <v>0</v>
      </c>
      <c r="G17" s="27"/>
      <c r="H17" s="46">
        <v>44151</v>
      </c>
      <c r="I17" s="31">
        <v>276290</v>
      </c>
      <c r="J17" s="74" t="s">
        <v>38</v>
      </c>
      <c r="K17" s="75" t="s">
        <v>39</v>
      </c>
      <c r="L17" s="76" t="s">
        <v>40</v>
      </c>
      <c r="M17" s="74"/>
      <c r="N17" s="77"/>
      <c r="O17" s="49"/>
    </row>
    <row r="18" s="1" customFormat="1" ht="18" customHeight="1" spans="1:15">
      <c r="A18" s="41">
        <v>44154</v>
      </c>
      <c r="B18" s="18">
        <f t="shared" si="4"/>
        <v>2389858.41</v>
      </c>
      <c r="C18" s="42"/>
      <c r="D18" s="43" t="s">
        <v>60</v>
      </c>
      <c r="E18" s="47">
        <v>0.13</v>
      </c>
      <c r="F18" s="18">
        <f t="shared" si="5"/>
        <v>310681.59</v>
      </c>
      <c r="G18" s="27">
        <v>2700540</v>
      </c>
      <c r="H18" s="46">
        <v>44173</v>
      </c>
      <c r="I18" s="31">
        <v>2100000</v>
      </c>
      <c r="J18" s="74" t="s">
        <v>38</v>
      </c>
      <c r="K18" s="75" t="s">
        <v>39</v>
      </c>
      <c r="L18" s="76" t="s">
        <v>40</v>
      </c>
      <c r="M18" s="74"/>
      <c r="N18" s="77"/>
      <c r="O18" s="49"/>
    </row>
    <row r="19" s="1" customFormat="1" ht="18" customHeight="1" spans="1:15">
      <c r="A19" s="41"/>
      <c r="B19" s="18">
        <f t="shared" si="4"/>
        <v>0</v>
      </c>
      <c r="C19" s="42"/>
      <c r="D19" s="43"/>
      <c r="E19" s="44"/>
      <c r="F19" s="18">
        <f t="shared" si="5"/>
        <v>0</v>
      </c>
      <c r="G19" s="27"/>
      <c r="H19" s="48">
        <v>44189</v>
      </c>
      <c r="I19" s="79">
        <v>210120</v>
      </c>
      <c r="J19" s="80" t="s">
        <v>38</v>
      </c>
      <c r="K19" s="81" t="s">
        <v>39</v>
      </c>
      <c r="L19" s="76"/>
      <c r="M19" s="74"/>
      <c r="N19" s="77"/>
      <c r="O19" s="49"/>
    </row>
    <row r="20" s="1" customFormat="1" ht="18" hidden="1" customHeight="1" spans="1:15">
      <c r="A20" s="41">
        <v>44166</v>
      </c>
      <c r="B20" s="18">
        <f t="shared" si="4"/>
        <v>595544.55</v>
      </c>
      <c r="C20" s="42">
        <v>1</v>
      </c>
      <c r="D20" s="43" t="s">
        <v>68</v>
      </c>
      <c r="E20" s="47">
        <v>0.01</v>
      </c>
      <c r="F20" s="18">
        <f t="shared" si="5"/>
        <v>5955.45</v>
      </c>
      <c r="G20" s="27">
        <v>601500</v>
      </c>
      <c r="H20" s="46"/>
      <c r="I20" s="31"/>
      <c r="J20" s="78"/>
      <c r="K20" s="75" t="s">
        <v>69</v>
      </c>
      <c r="L20" s="76" t="s">
        <v>70</v>
      </c>
      <c r="M20" s="74"/>
      <c r="N20" s="77"/>
      <c r="O20" s="49"/>
    </row>
    <row r="21" s="1" customFormat="1" ht="18" customHeight="1" spans="1:15">
      <c r="A21" s="41">
        <v>44166</v>
      </c>
      <c r="B21" s="18">
        <f t="shared" si="4"/>
        <v>436893.2</v>
      </c>
      <c r="C21" s="42">
        <v>5</v>
      </c>
      <c r="D21" s="43" t="s">
        <v>60</v>
      </c>
      <c r="E21" s="47">
        <v>0.03</v>
      </c>
      <c r="F21" s="18">
        <f t="shared" si="5"/>
        <v>13106.8</v>
      </c>
      <c r="G21" s="27">
        <v>450000</v>
      </c>
      <c r="H21" s="46"/>
      <c r="I21" s="31"/>
      <c r="J21" s="78"/>
      <c r="K21" s="75" t="s">
        <v>71</v>
      </c>
      <c r="L21" s="76" t="s">
        <v>72</v>
      </c>
      <c r="M21" s="74"/>
      <c r="N21" s="77"/>
      <c r="O21" s="49"/>
    </row>
    <row r="22" s="1" customFormat="1" ht="18" customHeight="1" spans="1:15">
      <c r="A22" s="41"/>
      <c r="B22" s="18"/>
      <c r="C22" s="42"/>
      <c r="D22" s="43"/>
      <c r="E22" s="47"/>
      <c r="F22" s="18"/>
      <c r="G22" s="27"/>
      <c r="H22" s="46"/>
      <c r="I22" s="31"/>
      <c r="J22" s="78"/>
      <c r="K22" s="75"/>
      <c r="L22" s="76"/>
      <c r="M22" s="74"/>
      <c r="N22" s="77"/>
      <c r="O22" s="49"/>
    </row>
    <row r="23" s="1" customFormat="1" ht="18" customHeight="1" spans="1:15">
      <c r="A23" s="41"/>
      <c r="B23" s="18"/>
      <c r="C23" s="42"/>
      <c r="D23" s="43"/>
      <c r="E23" s="47"/>
      <c r="F23" s="18"/>
      <c r="G23" s="27"/>
      <c r="H23" s="46"/>
      <c r="I23" s="31"/>
      <c r="J23" s="78"/>
      <c r="K23" s="75"/>
      <c r="L23" s="76"/>
      <c r="M23" s="74"/>
      <c r="N23" s="77"/>
      <c r="O23" s="49"/>
    </row>
    <row r="24" s="1" customFormat="1" ht="18" customHeight="1" spans="1:15">
      <c r="A24" s="41"/>
      <c r="B24" s="18"/>
      <c r="C24" s="42"/>
      <c r="D24" s="43"/>
      <c r="E24" s="47"/>
      <c r="F24" s="18"/>
      <c r="G24" s="27"/>
      <c r="H24" s="46"/>
      <c r="I24" s="31"/>
      <c r="J24" s="78"/>
      <c r="K24" s="75"/>
      <c r="L24" s="76"/>
      <c r="M24" s="74"/>
      <c r="N24" s="77"/>
      <c r="O24" s="49"/>
    </row>
    <row r="25" s="1" customFormat="1" ht="18" customHeight="1" spans="1:15">
      <c r="A25" s="41"/>
      <c r="B25" s="18"/>
      <c r="C25" s="42"/>
      <c r="D25" s="43"/>
      <c r="E25" s="47"/>
      <c r="F25" s="18"/>
      <c r="G25" s="27"/>
      <c r="H25" s="46"/>
      <c r="I25" s="31"/>
      <c r="J25" s="78"/>
      <c r="K25" s="75"/>
      <c r="L25" s="76"/>
      <c r="M25" s="74"/>
      <c r="N25" s="77"/>
      <c r="O25" s="49"/>
    </row>
    <row r="26" s="1" customFormat="1" ht="18" customHeight="1" spans="1:15">
      <c r="A26" s="41"/>
      <c r="B26" s="18"/>
      <c r="C26" s="42"/>
      <c r="D26" s="43"/>
      <c r="E26" s="47"/>
      <c r="F26" s="18"/>
      <c r="G26" s="27"/>
      <c r="H26" s="46"/>
      <c r="I26" s="31"/>
      <c r="J26" s="78"/>
      <c r="K26" s="75"/>
      <c r="L26" s="76"/>
      <c r="M26" s="74"/>
      <c r="N26" s="77"/>
      <c r="O26" s="49"/>
    </row>
    <row r="27" s="1" customFormat="1" ht="18" customHeight="1" spans="1:15">
      <c r="A27" s="41"/>
      <c r="B27" s="18"/>
      <c r="C27" s="42"/>
      <c r="D27" s="43"/>
      <c r="E27" s="47"/>
      <c r="F27" s="18"/>
      <c r="G27" s="27"/>
      <c r="H27" s="46"/>
      <c r="I27" s="31"/>
      <c r="J27" s="78"/>
      <c r="K27" s="75"/>
      <c r="L27" s="76"/>
      <c r="M27" s="74"/>
      <c r="N27" s="77"/>
      <c r="O27" s="49"/>
    </row>
    <row r="28" s="1" customFormat="1" ht="18" customHeight="1" spans="1:15">
      <c r="A28" s="41"/>
      <c r="B28" s="18"/>
      <c r="C28" s="42"/>
      <c r="D28" s="43"/>
      <c r="E28" s="47"/>
      <c r="F28" s="18"/>
      <c r="G28" s="27"/>
      <c r="H28" s="46"/>
      <c r="I28" s="31"/>
      <c r="J28" s="78"/>
      <c r="K28" s="75"/>
      <c r="L28" s="76"/>
      <c r="M28" s="74"/>
      <c r="N28" s="77"/>
      <c r="O28" s="49"/>
    </row>
    <row r="29" s="1" customFormat="1" ht="18" customHeight="1" spans="1:15">
      <c r="A29" s="41"/>
      <c r="B29" s="18"/>
      <c r="C29" s="42"/>
      <c r="D29" s="43"/>
      <c r="E29" s="47"/>
      <c r="F29" s="18"/>
      <c r="G29" s="27"/>
      <c r="H29" s="46"/>
      <c r="I29" s="31"/>
      <c r="J29" s="78"/>
      <c r="K29" s="75"/>
      <c r="L29" s="76"/>
      <c r="M29" s="74"/>
      <c r="N29" s="77"/>
      <c r="O29" s="49"/>
    </row>
    <row r="30" s="1" customFormat="1" ht="18" customHeight="1" spans="1:15">
      <c r="A30" s="41"/>
      <c r="B30" s="18"/>
      <c r="C30" s="42"/>
      <c r="D30" s="43"/>
      <c r="E30" s="47"/>
      <c r="F30" s="18"/>
      <c r="G30" s="27"/>
      <c r="H30" s="46"/>
      <c r="I30" s="31"/>
      <c r="J30" s="78"/>
      <c r="K30" s="75"/>
      <c r="L30" s="76"/>
      <c r="M30" s="74"/>
      <c r="N30" s="77"/>
      <c r="O30" s="49"/>
    </row>
    <row r="31" s="1" customFormat="1" ht="18" customHeight="1" spans="1:15">
      <c r="A31" s="41"/>
      <c r="B31" s="18">
        <f t="shared" ref="B31:B41" si="6">ROUND(G31/(1+E31),2)</f>
        <v>0</v>
      </c>
      <c r="C31" s="42"/>
      <c r="D31" s="43"/>
      <c r="E31" s="47"/>
      <c r="F31" s="18">
        <f t="shared" ref="F31:F41" si="7">ROUND(G31/(1+E31)*E31,2)</f>
        <v>0</v>
      </c>
      <c r="G31" s="27"/>
      <c r="H31" s="46"/>
      <c r="I31" s="31"/>
      <c r="J31" s="78"/>
      <c r="K31" s="75"/>
      <c r="L31" s="76"/>
      <c r="M31" s="74"/>
      <c r="N31" s="77"/>
      <c r="O31" s="49"/>
    </row>
    <row r="32" s="1" customFormat="1" ht="18" customHeight="1" spans="1:15">
      <c r="A32" s="41"/>
      <c r="B32" s="18">
        <f t="shared" si="6"/>
        <v>0</v>
      </c>
      <c r="C32" s="42"/>
      <c r="D32" s="43"/>
      <c r="E32" s="44"/>
      <c r="F32" s="18">
        <f t="shared" si="7"/>
        <v>0</v>
      </c>
      <c r="G32" s="27"/>
      <c r="H32" s="48">
        <v>44189</v>
      </c>
      <c r="I32" s="79">
        <v>100</v>
      </c>
      <c r="J32" s="82" t="s">
        <v>41</v>
      </c>
      <c r="K32" s="81" t="s">
        <v>64</v>
      </c>
      <c r="L32" s="76"/>
      <c r="M32" s="74"/>
      <c r="N32" s="77"/>
      <c r="O32" s="49"/>
    </row>
    <row r="33" s="1" customFormat="1" ht="18" customHeight="1" spans="1:15">
      <c r="A33" s="41"/>
      <c r="B33" s="18">
        <f t="shared" si="6"/>
        <v>0</v>
      </c>
      <c r="C33" s="42"/>
      <c r="D33" s="43"/>
      <c r="E33" s="44"/>
      <c r="F33" s="18">
        <f t="shared" si="7"/>
        <v>0</v>
      </c>
      <c r="G33" s="27"/>
      <c r="H33" s="48">
        <v>44189</v>
      </c>
      <c r="I33" s="79">
        <v>500</v>
      </c>
      <c r="J33" s="82" t="s">
        <v>41</v>
      </c>
      <c r="K33" s="81" t="s">
        <v>73</v>
      </c>
      <c r="L33" s="76"/>
      <c r="M33" s="74"/>
      <c r="N33" s="77"/>
      <c r="O33" s="49"/>
    </row>
    <row r="34" s="1" customFormat="1" ht="18" customHeight="1" spans="1:15">
      <c r="A34" s="41"/>
      <c r="B34" s="18">
        <f t="shared" si="6"/>
        <v>14280</v>
      </c>
      <c r="C34" s="42"/>
      <c r="D34" s="43"/>
      <c r="E34" s="44"/>
      <c r="F34" s="18">
        <f t="shared" si="7"/>
        <v>0</v>
      </c>
      <c r="G34" s="27">
        <v>14280</v>
      </c>
      <c r="H34" s="48">
        <v>44189</v>
      </c>
      <c r="I34" s="79">
        <v>14280</v>
      </c>
      <c r="J34" s="90" t="s">
        <v>41</v>
      </c>
      <c r="K34" s="81" t="s">
        <v>66</v>
      </c>
      <c r="L34" s="76"/>
      <c r="M34" s="74"/>
      <c r="N34" s="77"/>
      <c r="O34" s="49"/>
    </row>
    <row r="35" s="1" customFormat="1" ht="18" customHeight="1" spans="1:15">
      <c r="A35" s="41"/>
      <c r="B35" s="18">
        <f t="shared" si="6"/>
        <v>0</v>
      </c>
      <c r="C35" s="42"/>
      <c r="D35" s="43"/>
      <c r="E35" s="44"/>
      <c r="F35" s="18">
        <f t="shared" si="7"/>
        <v>0</v>
      </c>
      <c r="G35" s="27"/>
      <c r="H35" s="46">
        <v>44173</v>
      </c>
      <c r="I35" s="31">
        <v>400</v>
      </c>
      <c r="J35" s="83" t="s">
        <v>41</v>
      </c>
      <c r="K35" s="84" t="s">
        <v>64</v>
      </c>
      <c r="L35" s="76"/>
      <c r="M35" s="74"/>
      <c r="N35" s="77"/>
      <c r="O35" s="49"/>
    </row>
    <row r="36" s="1" customFormat="1" ht="18" customHeight="1" spans="1:15">
      <c r="A36" s="41"/>
      <c r="B36" s="18">
        <f t="shared" si="6"/>
        <v>0</v>
      </c>
      <c r="C36" s="42"/>
      <c r="D36" s="43"/>
      <c r="E36" s="44"/>
      <c r="F36" s="18">
        <f t="shared" si="7"/>
        <v>0</v>
      </c>
      <c r="G36" s="27"/>
      <c r="H36" s="46">
        <v>44173</v>
      </c>
      <c r="I36" s="31">
        <v>1000</v>
      </c>
      <c r="J36" s="78" t="s">
        <v>41</v>
      </c>
      <c r="K36" s="75" t="s">
        <v>65</v>
      </c>
      <c r="L36" s="76"/>
      <c r="M36" s="74"/>
      <c r="N36" s="77"/>
      <c r="O36" s="49"/>
    </row>
    <row r="37" s="1" customFormat="1" ht="18" customHeight="1" spans="1:15">
      <c r="A37" s="41"/>
      <c r="B37" s="18">
        <f t="shared" si="6"/>
        <v>72000</v>
      </c>
      <c r="C37" s="42"/>
      <c r="D37" s="43"/>
      <c r="E37" s="44"/>
      <c r="F37" s="18">
        <f t="shared" si="7"/>
        <v>0</v>
      </c>
      <c r="G37" s="27">
        <v>72000</v>
      </c>
      <c r="H37" s="46">
        <v>44173</v>
      </c>
      <c r="I37" s="31">
        <v>72000</v>
      </c>
      <c r="J37" s="78" t="s">
        <v>41</v>
      </c>
      <c r="K37" s="75" t="s">
        <v>66</v>
      </c>
      <c r="L37" s="76"/>
      <c r="M37" s="74"/>
      <c r="N37" s="77"/>
      <c r="O37" s="49"/>
    </row>
    <row r="38" s="1" customFormat="1" ht="18" customHeight="1" spans="1:15">
      <c r="A38" s="41"/>
      <c r="B38" s="18">
        <f t="shared" si="6"/>
        <v>0</v>
      </c>
      <c r="C38" s="42"/>
      <c r="D38" s="43"/>
      <c r="E38" s="44"/>
      <c r="F38" s="18">
        <f t="shared" si="7"/>
        <v>0</v>
      </c>
      <c r="G38" s="27"/>
      <c r="H38" s="46">
        <v>44173</v>
      </c>
      <c r="I38" s="31">
        <v>393361</v>
      </c>
      <c r="J38" s="78" t="s">
        <v>41</v>
      </c>
      <c r="K38" s="75" t="s">
        <v>61</v>
      </c>
      <c r="L38" s="76"/>
      <c r="M38" s="74"/>
      <c r="N38" s="77"/>
      <c r="O38" s="49"/>
    </row>
    <row r="39" s="1" customFormat="1" ht="18" customHeight="1" spans="1:15">
      <c r="A39" s="41"/>
      <c r="B39" s="18">
        <f t="shared" si="6"/>
        <v>0</v>
      </c>
      <c r="C39" s="42"/>
      <c r="D39" s="43"/>
      <c r="E39" s="44"/>
      <c r="F39" s="18">
        <f t="shared" si="7"/>
        <v>0</v>
      </c>
      <c r="G39" s="27"/>
      <c r="H39" s="46">
        <v>44173</v>
      </c>
      <c r="I39" s="31">
        <v>45000</v>
      </c>
      <c r="J39" s="78" t="s">
        <v>41</v>
      </c>
      <c r="K39" s="75" t="s">
        <v>62</v>
      </c>
      <c r="L39" s="76"/>
      <c r="M39" s="74"/>
      <c r="N39" s="77"/>
      <c r="O39" s="49"/>
    </row>
    <row r="40" s="1" customFormat="1" ht="18" customHeight="1" spans="1:15">
      <c r="A40" s="41"/>
      <c r="B40" s="18">
        <f t="shared" si="6"/>
        <v>0</v>
      </c>
      <c r="C40" s="42"/>
      <c r="D40" s="43"/>
      <c r="E40" s="44"/>
      <c r="F40" s="18">
        <f t="shared" si="7"/>
        <v>0</v>
      </c>
      <c r="G40" s="27"/>
      <c r="H40" s="46">
        <v>44173</v>
      </c>
      <c r="I40" s="31">
        <v>2477</v>
      </c>
      <c r="J40" s="78" t="s">
        <v>41</v>
      </c>
      <c r="K40" s="75" t="s">
        <v>54</v>
      </c>
      <c r="L40" s="76"/>
      <c r="M40" s="74"/>
      <c r="N40" s="77"/>
      <c r="O40" s="49"/>
    </row>
    <row r="41" s="1" customFormat="1" ht="18" customHeight="1" spans="1:15">
      <c r="A41" s="41"/>
      <c r="B41" s="18">
        <f t="shared" si="6"/>
        <v>0</v>
      </c>
      <c r="C41" s="42"/>
      <c r="D41" s="43"/>
      <c r="E41" s="44"/>
      <c r="F41" s="18">
        <f t="shared" si="7"/>
        <v>0</v>
      </c>
      <c r="G41" s="27"/>
      <c r="H41" s="49"/>
      <c r="I41" s="49"/>
      <c r="J41" s="77"/>
      <c r="K41" s="49"/>
      <c r="L41" s="76"/>
      <c r="M41" s="74"/>
      <c r="N41" s="77"/>
      <c r="O41" s="49"/>
    </row>
    <row r="42" ht="18" customHeight="1" spans="1:15">
      <c r="A42" s="36" t="s">
        <v>21</v>
      </c>
      <c r="B42" s="35">
        <f>SUM(B14:B41)</f>
        <v>3508576.16</v>
      </c>
      <c r="C42" s="36"/>
      <c r="D42" s="50"/>
      <c r="E42" s="50"/>
      <c r="F42" s="38">
        <f>SUM(F14:F41)</f>
        <v>329743.84</v>
      </c>
      <c r="G42" s="51">
        <f>SUM(G14:G41)</f>
        <v>3838320</v>
      </c>
      <c r="H42" s="52"/>
      <c r="I42" s="37">
        <f>SUM(I14:I40)</f>
        <v>2839238</v>
      </c>
      <c r="J42" s="85"/>
      <c r="K42" s="50"/>
      <c r="L42" s="39"/>
      <c r="M42" s="69"/>
      <c r="N42" s="69"/>
      <c r="O42" s="39"/>
    </row>
    <row r="43" ht="18" customHeight="1" spans="1:14">
      <c r="A43" s="53" t="s">
        <v>43</v>
      </c>
      <c r="B43" s="54">
        <f>B11*0.96</f>
        <v>3963302.75229358</v>
      </c>
      <c r="C43" s="53"/>
      <c r="D43" s="55"/>
      <c r="E43" s="55"/>
      <c r="F43" s="54"/>
      <c r="G43" s="56">
        <f>G11-G42</f>
        <v>661680</v>
      </c>
      <c r="H43" s="22" t="s">
        <v>44</v>
      </c>
      <c r="I43" s="37">
        <f>I11-I42</f>
        <v>1474762</v>
      </c>
      <c r="J43" s="86"/>
      <c r="K43" s="87"/>
      <c r="M43" s="86"/>
      <c r="N43" s="86"/>
    </row>
    <row r="44" ht="18" customHeight="1" spans="1:14">
      <c r="A44" s="53" t="s">
        <v>45</v>
      </c>
      <c r="B44" s="54">
        <f>B43-B42</f>
        <v>454726.59229358</v>
      </c>
      <c r="C44" s="53"/>
      <c r="D44" s="55"/>
      <c r="E44" s="55"/>
      <c r="F44" s="54"/>
      <c r="G44" s="56"/>
      <c r="H44" s="57"/>
      <c r="I44" s="54"/>
      <c r="J44" s="86"/>
      <c r="K44" s="87"/>
      <c r="M44" s="86"/>
      <c r="N44" s="86"/>
    </row>
    <row r="45" ht="18" customHeight="1" spans="1:3">
      <c r="A45" s="2" t="s">
        <v>46</v>
      </c>
      <c r="C45" s="2"/>
    </row>
    <row r="46" ht="18" customHeight="1" spans="1:7">
      <c r="A46" s="22" t="s">
        <v>47</v>
      </c>
      <c r="B46" s="21" t="s">
        <v>48</v>
      </c>
      <c r="C46" s="39"/>
      <c r="D46" s="22" t="s">
        <v>47</v>
      </c>
      <c r="E46" s="20" t="s">
        <v>16</v>
      </c>
      <c r="F46" s="51" t="s">
        <v>48</v>
      </c>
      <c r="G46" s="16" t="s">
        <v>63</v>
      </c>
    </row>
    <row r="47" ht="18" customHeight="1" spans="1:7">
      <c r="A47" s="39" t="s">
        <v>49</v>
      </c>
      <c r="B47" s="18">
        <f>(B43-B42)*0.25</f>
        <v>113681.648073395</v>
      </c>
      <c r="C47" s="39"/>
      <c r="D47" s="34" t="s">
        <v>50</v>
      </c>
      <c r="E47" s="22" t="s">
        <v>51</v>
      </c>
      <c r="F47" s="59">
        <f>F11-F42</f>
        <v>-40753.014311927</v>
      </c>
      <c r="G47" s="89">
        <v>-21690.7643119266</v>
      </c>
    </row>
    <row r="48" ht="18" customHeight="1" spans="1:7">
      <c r="A48" s="39" t="s">
        <v>52</v>
      </c>
      <c r="B48" s="61"/>
      <c r="C48" s="39"/>
      <c r="D48" s="62" t="s">
        <v>53</v>
      </c>
      <c r="E48" s="14">
        <v>0.05</v>
      </c>
      <c r="F48" s="63">
        <f>F47*E48</f>
        <v>-2037.65071559635</v>
      </c>
      <c r="G48" s="89">
        <v>-1084.53821559633</v>
      </c>
    </row>
    <row r="49" ht="18" customHeight="1" spans="1:7">
      <c r="A49" s="39" t="s">
        <v>54</v>
      </c>
      <c r="B49" s="61"/>
      <c r="C49" s="39"/>
      <c r="D49" s="62" t="s">
        <v>55</v>
      </c>
      <c r="E49" s="14">
        <v>0.03</v>
      </c>
      <c r="F49" s="63">
        <f>F47*E49</f>
        <v>-1222.59042935781</v>
      </c>
      <c r="G49" s="89">
        <v>-650.722929357798</v>
      </c>
    </row>
    <row r="50" ht="18" customHeight="1" spans="1:7">
      <c r="A50" s="39"/>
      <c r="B50" s="29"/>
      <c r="C50" s="39"/>
      <c r="D50" s="62" t="s">
        <v>56</v>
      </c>
      <c r="E50" s="14">
        <v>0.02</v>
      </c>
      <c r="F50" s="63">
        <f>F47*E50</f>
        <v>-815.06028623854</v>
      </c>
      <c r="G50" s="89">
        <v>-433.815286238532</v>
      </c>
    </row>
    <row r="51" ht="18" customHeight="1" spans="1:7">
      <c r="A51" s="34" t="s">
        <v>57</v>
      </c>
      <c r="B51" s="35">
        <f>SUM(B47:B50)</f>
        <v>113681.648073395</v>
      </c>
      <c r="C51" s="39"/>
      <c r="D51" s="40" t="s">
        <v>57</v>
      </c>
      <c r="E51" s="34"/>
      <c r="F51" s="59">
        <f>SUM(F47:F50)</f>
        <v>-44828.3157431197</v>
      </c>
      <c r="G51" s="89">
        <v>0</v>
      </c>
    </row>
    <row r="52" ht="18" customHeight="1" spans="3:7">
      <c r="C52" s="2"/>
      <c r="D52" s="12" t="s">
        <v>52</v>
      </c>
      <c r="E52" s="64">
        <v>0.0003</v>
      </c>
      <c r="F52" s="63">
        <f>G11*E52</f>
        <v>1350</v>
      </c>
      <c r="G52" s="89"/>
    </row>
    <row r="53" ht="18" customHeight="1" spans="3:7">
      <c r="C53" s="2"/>
      <c r="D53" s="12" t="s">
        <v>54</v>
      </c>
      <c r="E53" s="64">
        <v>0.0006</v>
      </c>
      <c r="F53" s="63">
        <f>B11*E53</f>
        <v>2477.06422018349</v>
      </c>
      <c r="G53" s="89">
        <v>2477.06422018349</v>
      </c>
    </row>
    <row r="54" ht="18" customHeight="1" spans="3:7">
      <c r="C54" s="2"/>
      <c r="D54" s="20" t="s">
        <v>57</v>
      </c>
      <c r="E54" s="50"/>
      <c r="F54" s="65">
        <f>F53+F52</f>
        <v>3827.06422018349</v>
      </c>
      <c r="G54" s="89"/>
    </row>
    <row r="55" ht="18" customHeight="1" spans="3:7">
      <c r="C55" s="2"/>
      <c r="D55" s="20" t="s">
        <v>21</v>
      </c>
      <c r="E55" s="36"/>
      <c r="F55" s="65">
        <f>F51+F54</f>
        <v>-41001.2515229362</v>
      </c>
      <c r="G55" s="89"/>
    </row>
    <row r="56" ht="18" customHeight="1" spans="3:7">
      <c r="C56" s="2"/>
      <c r="D56" s="36" t="s">
        <v>49</v>
      </c>
      <c r="E56" s="50"/>
      <c r="F56" s="65">
        <v>0.01</v>
      </c>
      <c r="G56" s="89">
        <v>45000</v>
      </c>
    </row>
    <row r="57" ht="18" customHeight="1" spans="3:7">
      <c r="C57" s="2"/>
      <c r="D57" s="12" t="s">
        <v>21</v>
      </c>
      <c r="E57" s="12"/>
      <c r="G57" s="89"/>
    </row>
    <row r="58" ht="18" customHeight="1" spans="3:7">
      <c r="C58" s="2"/>
      <c r="D58" s="4" t="s">
        <v>61</v>
      </c>
      <c r="G58" s="88">
        <v>393361.085573394</v>
      </c>
    </row>
    <row r="59" ht="18" customHeight="1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</sheetData>
  <autoFilter ref="A13:O21">
    <filterColumn colId="10">
      <customFilters>
        <customFilter operator="equal" val="安徽拓创交通设施有限公司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opLeftCell="A28" workbookViewId="0">
      <selection activeCell="L36" sqref="L36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2.8833333333333" style="3" customWidth="1"/>
    <col min="7" max="7" width="14.1333333333333" style="5" customWidth="1"/>
    <col min="8" max="8" width="10.8833333333333" style="4" customWidth="1"/>
    <col min="9" max="9" width="13.8833333333333" style="3" customWidth="1"/>
    <col min="10" max="10" width="6.13333333333333" style="6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31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15" t="s">
        <v>58</v>
      </c>
      <c r="G2" s="16" t="s">
        <v>5</v>
      </c>
      <c r="H2" s="17" t="s">
        <v>6</v>
      </c>
      <c r="I2" s="66"/>
      <c r="J2" s="67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 t="s">
        <v>59</v>
      </c>
      <c r="B7" s="18">
        <f t="shared" ref="B7:B10" si="0">G7/(1+C7+E7)</f>
        <v>4128440.36697248</v>
      </c>
      <c r="C7" s="24">
        <v>0.02</v>
      </c>
      <c r="D7" s="25">
        <f t="shared" ref="D7:D10" si="1">G7/(1+E7+C7)*C7</f>
        <v>82568.8073394495</v>
      </c>
      <c r="E7" s="26">
        <v>0.07</v>
      </c>
      <c r="F7" s="18">
        <f t="shared" ref="F7:F10" si="2">G7/(1+C7+E7)*E7</f>
        <v>288990.825688073</v>
      </c>
      <c r="G7" s="27">
        <v>4500000</v>
      </c>
      <c r="H7" s="28">
        <v>44167</v>
      </c>
      <c r="I7" s="29">
        <v>2856000</v>
      </c>
      <c r="J7" s="69" t="s">
        <v>38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27"/>
      <c r="H8" s="28">
        <v>44167</v>
      </c>
      <c r="I8" s="29">
        <v>744000</v>
      </c>
      <c r="J8" s="69" t="s">
        <v>38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2">
        <v>0.07</v>
      </c>
      <c r="F9" s="29">
        <f t="shared" si="2"/>
        <v>0</v>
      </c>
      <c r="G9" s="27"/>
      <c r="H9" s="33">
        <v>44181</v>
      </c>
      <c r="I9" s="70">
        <v>714000</v>
      </c>
      <c r="J9" s="69" t="s">
        <v>67</v>
      </c>
    </row>
    <row r="10" ht="18" customHeight="1" spans="1:11">
      <c r="A10" s="28"/>
      <c r="B10" s="29">
        <f t="shared" si="0"/>
        <v>0</v>
      </c>
      <c r="C10" s="30">
        <v>0.02</v>
      </c>
      <c r="D10" s="31">
        <f t="shared" si="1"/>
        <v>0</v>
      </c>
      <c r="E10" s="32">
        <v>0.07</v>
      </c>
      <c r="F10" s="29">
        <f t="shared" si="2"/>
        <v>0</v>
      </c>
      <c r="G10" s="27"/>
      <c r="H10" s="28">
        <v>44182</v>
      </c>
      <c r="I10" s="29">
        <v>186000</v>
      </c>
      <c r="J10" s="69" t="s">
        <v>67</v>
      </c>
      <c r="K10" s="7">
        <f>I10*0.02</f>
        <v>3720</v>
      </c>
    </row>
    <row r="11" ht="18" customHeight="1" spans="1:10">
      <c r="A11" s="28"/>
      <c r="B11" s="29"/>
      <c r="C11" s="30"/>
      <c r="D11" s="31"/>
      <c r="E11" s="32"/>
      <c r="F11" s="29"/>
      <c r="G11" s="27"/>
      <c r="H11" s="28"/>
      <c r="I11" s="29"/>
      <c r="J11" s="69"/>
    </row>
    <row r="12" ht="18" customHeight="1" spans="1:10">
      <c r="A12" s="28"/>
      <c r="B12" s="29"/>
      <c r="C12" s="30"/>
      <c r="D12" s="31"/>
      <c r="E12" s="32"/>
      <c r="F12" s="29"/>
      <c r="G12" s="27"/>
      <c r="H12" s="28"/>
      <c r="I12" s="29"/>
      <c r="J12" s="69"/>
    </row>
    <row r="13" ht="18" customHeight="1" spans="1:10">
      <c r="A13" s="34" t="s">
        <v>21</v>
      </c>
      <c r="B13" s="35">
        <f t="shared" ref="B13:G13" si="3">SUM(B7:B10)</f>
        <v>4128440.36697248</v>
      </c>
      <c r="C13" s="36"/>
      <c r="D13" s="37">
        <f t="shared" si="3"/>
        <v>82568.8073394495</v>
      </c>
      <c r="E13" s="36"/>
      <c r="F13" s="38">
        <f t="shared" si="3"/>
        <v>288990.825688073</v>
      </c>
      <c r="G13" s="21">
        <f t="shared" si="3"/>
        <v>4500000</v>
      </c>
      <c r="H13" s="39"/>
      <c r="I13" s="37">
        <f>SUM(I7:I12)</f>
        <v>4500000</v>
      </c>
      <c r="J13" s="69"/>
    </row>
    <row r="14" ht="18" customHeight="1" spans="1:12">
      <c r="A14" s="2" t="s">
        <v>22</v>
      </c>
      <c r="J14" s="71"/>
      <c r="K14" s="4"/>
      <c r="L14" s="72"/>
    </row>
    <row r="15" ht="18" customHeight="1" spans="1:15">
      <c r="A15" s="40" t="s">
        <v>23</v>
      </c>
      <c r="B15" s="21" t="s">
        <v>24</v>
      </c>
      <c r="C15" s="20" t="s">
        <v>25</v>
      </c>
      <c r="D15" s="20" t="s">
        <v>26</v>
      </c>
      <c r="E15" s="20" t="s">
        <v>16</v>
      </c>
      <c r="F15" s="21" t="s">
        <v>27</v>
      </c>
      <c r="G15" s="21" t="s">
        <v>14</v>
      </c>
      <c r="H15" s="20" t="s">
        <v>28</v>
      </c>
      <c r="I15" s="21" t="s">
        <v>29</v>
      </c>
      <c r="J15" s="20" t="s">
        <v>20</v>
      </c>
      <c r="K15" s="73" t="s">
        <v>30</v>
      </c>
      <c r="L15" s="22" t="s">
        <v>31</v>
      </c>
      <c r="M15" s="22" t="s">
        <v>32</v>
      </c>
      <c r="N15" s="22" t="s">
        <v>33</v>
      </c>
      <c r="O15" s="22" t="s">
        <v>34</v>
      </c>
    </row>
    <row r="16" s="1" customFormat="1" ht="18" customHeight="1" spans="1:15">
      <c r="A16" s="41"/>
      <c r="B16" s="18">
        <f t="shared" ref="B16:B24" si="4">ROUND(G16/(1+E16),2)</f>
        <v>0</v>
      </c>
      <c r="C16" s="42"/>
      <c r="D16" s="43"/>
      <c r="E16" s="44"/>
      <c r="F16" s="18">
        <f t="shared" ref="F16:F24" si="5">ROUND(G16/(1+E16)*E16,2)</f>
        <v>0</v>
      </c>
      <c r="G16" s="27"/>
      <c r="H16" s="45">
        <v>44141</v>
      </c>
      <c r="I16" s="25">
        <v>-189000</v>
      </c>
      <c r="J16" s="74" t="s">
        <v>35</v>
      </c>
      <c r="K16" s="75" t="s">
        <v>36</v>
      </c>
      <c r="L16" s="76" t="s">
        <v>37</v>
      </c>
      <c r="M16" s="77"/>
      <c r="N16" s="77"/>
      <c r="O16" s="49"/>
    </row>
    <row r="17" s="1" customFormat="1" ht="18" customHeight="1" spans="1:15">
      <c r="A17" s="41"/>
      <c r="B17" s="18">
        <f t="shared" si="4"/>
        <v>0</v>
      </c>
      <c r="C17" s="42"/>
      <c r="D17" s="43"/>
      <c r="E17" s="44"/>
      <c r="F17" s="18">
        <f t="shared" si="5"/>
        <v>0</v>
      </c>
      <c r="G17" s="27"/>
      <c r="H17" s="45">
        <v>44141</v>
      </c>
      <c r="I17" s="25">
        <v>189000</v>
      </c>
      <c r="J17" s="74" t="s">
        <v>38</v>
      </c>
      <c r="K17" s="75" t="s">
        <v>39</v>
      </c>
      <c r="L17" s="76" t="s">
        <v>40</v>
      </c>
      <c r="M17" s="77"/>
      <c r="N17" s="77"/>
      <c r="O17" s="49"/>
    </row>
    <row r="18" s="1" customFormat="1" ht="18" customHeight="1" spans="1:15">
      <c r="A18" s="41"/>
      <c r="B18" s="18">
        <f t="shared" si="4"/>
        <v>0</v>
      </c>
      <c r="C18" s="42"/>
      <c r="D18" s="43"/>
      <c r="E18" s="44"/>
      <c r="F18" s="18">
        <f t="shared" si="5"/>
        <v>0</v>
      </c>
      <c r="G18" s="27"/>
      <c r="H18" s="46">
        <v>44151</v>
      </c>
      <c r="I18" s="31">
        <v>-276290</v>
      </c>
      <c r="J18" s="74" t="s">
        <v>35</v>
      </c>
      <c r="K18" s="75" t="s">
        <v>36</v>
      </c>
      <c r="L18" s="76" t="s">
        <v>37</v>
      </c>
      <c r="M18" s="74"/>
      <c r="N18" s="77"/>
      <c r="O18" s="49"/>
    </row>
    <row r="19" s="1" customFormat="1" ht="18" customHeight="1" spans="2:15">
      <c r="B19" s="18">
        <f t="shared" si="4"/>
        <v>0</v>
      </c>
      <c r="C19" s="42"/>
      <c r="D19" s="43"/>
      <c r="E19" s="44"/>
      <c r="F19" s="18">
        <f t="shared" si="5"/>
        <v>0</v>
      </c>
      <c r="G19" s="27"/>
      <c r="H19" s="46">
        <v>44151</v>
      </c>
      <c r="I19" s="31">
        <v>276290</v>
      </c>
      <c r="J19" s="74" t="s">
        <v>38</v>
      </c>
      <c r="K19" s="75" t="s">
        <v>39</v>
      </c>
      <c r="L19" s="76" t="s">
        <v>40</v>
      </c>
      <c r="M19" s="74"/>
      <c r="N19" s="77"/>
      <c r="O19" s="49"/>
    </row>
    <row r="20" s="1" customFormat="1" ht="18" customHeight="1" spans="1:15">
      <c r="A20" s="41">
        <v>44154</v>
      </c>
      <c r="B20" s="18">
        <f t="shared" si="4"/>
        <v>2389858.41</v>
      </c>
      <c r="C20" s="42"/>
      <c r="D20" s="43" t="s">
        <v>60</v>
      </c>
      <c r="E20" s="47">
        <v>0.13</v>
      </c>
      <c r="F20" s="18">
        <f t="shared" si="5"/>
        <v>310681.59</v>
      </c>
      <c r="G20" s="27">
        <v>2700540</v>
      </c>
      <c r="H20" s="46">
        <v>44173</v>
      </c>
      <c r="I20" s="31">
        <v>2100000</v>
      </c>
      <c r="J20" s="74" t="s">
        <v>38</v>
      </c>
      <c r="K20" s="75" t="s">
        <v>39</v>
      </c>
      <c r="L20" s="76" t="s">
        <v>40</v>
      </c>
      <c r="M20" s="74"/>
      <c r="N20" s="77"/>
      <c r="O20" s="49"/>
    </row>
    <row r="21" s="1" customFormat="1" ht="18" customHeight="1" spans="1:15">
      <c r="A21" s="41"/>
      <c r="B21" s="18">
        <f t="shared" si="4"/>
        <v>0</v>
      </c>
      <c r="C21" s="42"/>
      <c r="D21" s="43"/>
      <c r="E21" s="44"/>
      <c r="F21" s="18">
        <f t="shared" si="5"/>
        <v>0</v>
      </c>
      <c r="G21" s="27"/>
      <c r="H21" s="46">
        <v>44189</v>
      </c>
      <c r="I21" s="31">
        <v>210120</v>
      </c>
      <c r="J21" s="74" t="s">
        <v>38</v>
      </c>
      <c r="K21" s="75" t="s">
        <v>39</v>
      </c>
      <c r="L21" s="76"/>
      <c r="M21" s="74"/>
      <c r="N21" s="77"/>
      <c r="O21" s="49"/>
    </row>
    <row r="22" s="1" customFormat="1" ht="18" customHeight="1" spans="1:15">
      <c r="A22" s="41">
        <v>44166</v>
      </c>
      <c r="B22" s="18">
        <f>G22</f>
        <v>601500</v>
      </c>
      <c r="C22" s="42">
        <v>1</v>
      </c>
      <c r="D22" s="43" t="s">
        <v>74</v>
      </c>
      <c r="E22" s="47">
        <v>0.01</v>
      </c>
      <c r="F22" s="18">
        <f t="shared" si="5"/>
        <v>5955.45</v>
      </c>
      <c r="G22" s="27">
        <v>601500</v>
      </c>
      <c r="H22" s="46"/>
      <c r="I22" s="31"/>
      <c r="J22" s="78"/>
      <c r="K22" s="75" t="s">
        <v>69</v>
      </c>
      <c r="L22" s="76" t="s">
        <v>70</v>
      </c>
      <c r="M22" s="74"/>
      <c r="N22" s="77"/>
      <c r="O22" s="49"/>
    </row>
    <row r="23" s="1" customFormat="1" ht="18" customHeight="1" spans="1:15">
      <c r="A23" s="41">
        <v>44166</v>
      </c>
      <c r="B23" s="18">
        <f t="shared" si="4"/>
        <v>436893.2</v>
      </c>
      <c r="C23" s="42">
        <v>5</v>
      </c>
      <c r="D23" s="43" t="s">
        <v>60</v>
      </c>
      <c r="E23" s="47">
        <v>0.03</v>
      </c>
      <c r="F23" s="18">
        <f t="shared" si="5"/>
        <v>13106.8</v>
      </c>
      <c r="G23" s="27">
        <v>450000</v>
      </c>
      <c r="H23" s="48">
        <v>44194</v>
      </c>
      <c r="I23" s="79">
        <v>500000</v>
      </c>
      <c r="J23" s="80" t="s">
        <v>38</v>
      </c>
      <c r="K23" s="81" t="s">
        <v>71</v>
      </c>
      <c r="L23" s="76" t="s">
        <v>72</v>
      </c>
      <c r="M23" s="74"/>
      <c r="N23" s="77"/>
      <c r="O23" s="49"/>
    </row>
    <row r="24" s="1" customFormat="1" ht="18" customHeight="1" spans="1:15">
      <c r="A24" s="41">
        <v>44166</v>
      </c>
      <c r="B24" s="18">
        <f t="shared" si="4"/>
        <v>485436.89</v>
      </c>
      <c r="C24" s="42">
        <v>6</v>
      </c>
      <c r="D24" s="43" t="s">
        <v>60</v>
      </c>
      <c r="E24" s="47">
        <v>0.03</v>
      </c>
      <c r="F24" s="18">
        <f t="shared" si="5"/>
        <v>14563.11</v>
      </c>
      <c r="G24" s="27">
        <v>500000</v>
      </c>
      <c r="H24" s="48">
        <v>44194</v>
      </c>
      <c r="I24" s="79">
        <v>450000</v>
      </c>
      <c r="J24" s="82" t="s">
        <v>67</v>
      </c>
      <c r="K24" s="81"/>
      <c r="L24" s="76" t="s">
        <v>75</v>
      </c>
      <c r="M24" s="74"/>
      <c r="N24" s="77"/>
      <c r="O24" s="49"/>
    </row>
    <row r="25" s="1" customFormat="1" ht="18" customHeight="1" spans="1:15">
      <c r="A25" s="41"/>
      <c r="B25" s="18"/>
      <c r="C25" s="42"/>
      <c r="D25" s="43"/>
      <c r="E25" s="47"/>
      <c r="F25" s="18"/>
      <c r="G25" s="27"/>
      <c r="H25" s="48">
        <v>44194</v>
      </c>
      <c r="I25" s="79">
        <v>401500</v>
      </c>
      <c r="J25" s="80" t="s">
        <v>38</v>
      </c>
      <c r="K25" s="81" t="s">
        <v>69</v>
      </c>
      <c r="L25" s="76" t="s">
        <v>76</v>
      </c>
      <c r="M25" s="74"/>
      <c r="N25" s="77"/>
      <c r="O25" s="49"/>
    </row>
    <row r="26" s="1" customFormat="1" ht="18" customHeight="1" spans="1:15">
      <c r="A26" s="41"/>
      <c r="B26" s="18"/>
      <c r="C26" s="42"/>
      <c r="D26" s="43"/>
      <c r="E26" s="47"/>
      <c r="F26" s="18"/>
      <c r="G26" s="27"/>
      <c r="H26" s="46"/>
      <c r="I26" s="31"/>
      <c r="J26" s="78"/>
      <c r="K26" s="75"/>
      <c r="L26" s="76"/>
      <c r="M26" s="74"/>
      <c r="N26" s="77"/>
      <c r="O26" s="49"/>
    </row>
    <row r="27" s="1" customFormat="1" ht="18" customHeight="1" spans="1:15">
      <c r="A27" s="41"/>
      <c r="B27" s="18"/>
      <c r="C27" s="42"/>
      <c r="D27" s="43"/>
      <c r="E27" s="47"/>
      <c r="F27" s="18"/>
      <c r="G27" s="27"/>
      <c r="H27" s="46"/>
      <c r="I27" s="31"/>
      <c r="J27" s="78"/>
      <c r="K27" s="75"/>
      <c r="L27" s="76"/>
      <c r="M27" s="74"/>
      <c r="N27" s="77"/>
      <c r="O27" s="49"/>
    </row>
    <row r="28" s="1" customFormat="1" ht="18" customHeight="1" spans="1:15">
      <c r="A28" s="41"/>
      <c r="B28" s="18"/>
      <c r="C28" s="42"/>
      <c r="D28" s="43"/>
      <c r="E28" s="47"/>
      <c r="F28" s="18"/>
      <c r="G28" s="27"/>
      <c r="H28" s="46"/>
      <c r="I28" s="31"/>
      <c r="J28" s="78"/>
      <c r="K28" s="75"/>
      <c r="L28" s="76"/>
      <c r="M28" s="74"/>
      <c r="N28" s="77"/>
      <c r="O28" s="49"/>
    </row>
    <row r="29" s="1" customFormat="1" ht="18" customHeight="1" spans="1:15">
      <c r="A29" s="41"/>
      <c r="B29" s="18"/>
      <c r="C29" s="42"/>
      <c r="D29" s="43"/>
      <c r="E29" s="47"/>
      <c r="F29" s="18"/>
      <c r="G29" s="27"/>
      <c r="H29" s="48">
        <v>44194</v>
      </c>
      <c r="I29" s="79">
        <v>3720</v>
      </c>
      <c r="J29" s="82"/>
      <c r="K29" s="81" t="s">
        <v>77</v>
      </c>
      <c r="L29" s="76"/>
      <c r="M29" s="74"/>
      <c r="N29" s="77"/>
      <c r="O29" s="49"/>
    </row>
    <row r="30" s="1" customFormat="1" ht="18" customHeight="1" spans="1:15">
      <c r="A30" s="41"/>
      <c r="B30" s="18"/>
      <c r="C30" s="42"/>
      <c r="D30" s="43"/>
      <c r="E30" s="47"/>
      <c r="F30" s="18"/>
      <c r="G30" s="27"/>
      <c r="H30" s="48">
        <v>44194</v>
      </c>
      <c r="I30" s="79">
        <v>-393361</v>
      </c>
      <c r="J30" s="82" t="s">
        <v>78</v>
      </c>
      <c r="K30" s="81" t="s">
        <v>79</v>
      </c>
      <c r="L30" s="76"/>
      <c r="M30" s="74"/>
      <c r="N30" s="77"/>
      <c r="O30" s="49"/>
    </row>
    <row r="31" s="1" customFormat="1" ht="18" customHeight="1" spans="1:15">
      <c r="A31" s="41"/>
      <c r="B31" s="18"/>
      <c r="C31" s="42"/>
      <c r="D31" s="43"/>
      <c r="E31" s="47"/>
      <c r="F31" s="18"/>
      <c r="G31" s="27"/>
      <c r="H31" s="48">
        <v>44194</v>
      </c>
      <c r="I31" s="79">
        <v>200</v>
      </c>
      <c r="J31" s="82" t="s">
        <v>41</v>
      </c>
      <c r="K31" s="81" t="s">
        <v>64</v>
      </c>
      <c r="L31" s="76"/>
      <c r="M31" s="74"/>
      <c r="N31" s="77"/>
      <c r="O31" s="49"/>
    </row>
    <row r="32" s="1" customFormat="1" ht="18" customHeight="1" spans="1:15">
      <c r="A32" s="41"/>
      <c r="B32" s="18"/>
      <c r="C32" s="42"/>
      <c r="D32" s="43"/>
      <c r="E32" s="47"/>
      <c r="F32" s="18"/>
      <c r="G32" s="27"/>
      <c r="H32" s="48">
        <v>44194</v>
      </c>
      <c r="I32" s="79">
        <v>-47477</v>
      </c>
      <c r="J32" s="82" t="s">
        <v>80</v>
      </c>
      <c r="K32" s="81" t="s">
        <v>81</v>
      </c>
      <c r="L32" s="76"/>
      <c r="M32" s="74"/>
      <c r="N32" s="77"/>
      <c r="O32" s="49"/>
    </row>
    <row r="33" s="1" customFormat="1" ht="18" customHeight="1" spans="1:15">
      <c r="A33" s="41"/>
      <c r="B33" s="18">
        <f t="shared" ref="B33:B43" si="6">ROUND(G33/(1+E33),2)</f>
        <v>0</v>
      </c>
      <c r="C33" s="42"/>
      <c r="D33" s="43"/>
      <c r="E33" s="47"/>
      <c r="F33" s="18">
        <f t="shared" ref="F33:F43" si="7">ROUND(G33/(1+E33)*E33,2)</f>
        <v>0</v>
      </c>
      <c r="G33" s="27"/>
      <c r="H33" s="48">
        <v>44194</v>
      </c>
      <c r="I33" s="79">
        <v>-72000</v>
      </c>
      <c r="J33" s="82" t="s">
        <v>80</v>
      </c>
      <c r="K33" s="81" t="s">
        <v>82</v>
      </c>
      <c r="L33" s="76"/>
      <c r="M33" s="74"/>
      <c r="N33" s="77"/>
      <c r="O33" s="49"/>
    </row>
    <row r="34" s="1" customFormat="1" ht="18" customHeight="1" spans="1:15">
      <c r="A34" s="41"/>
      <c r="B34" s="18">
        <f t="shared" si="6"/>
        <v>0</v>
      </c>
      <c r="C34" s="42"/>
      <c r="D34" s="43"/>
      <c r="E34" s="44"/>
      <c r="F34" s="18">
        <f t="shared" si="7"/>
        <v>0</v>
      </c>
      <c r="G34" s="27"/>
      <c r="H34" s="46">
        <v>44189</v>
      </c>
      <c r="I34" s="31">
        <v>100</v>
      </c>
      <c r="J34" s="78" t="s">
        <v>41</v>
      </c>
      <c r="K34" s="75" t="s">
        <v>64</v>
      </c>
      <c r="L34" s="76"/>
      <c r="M34" s="74"/>
      <c r="N34" s="77"/>
      <c r="O34" s="49"/>
    </row>
    <row r="35" s="1" customFormat="1" ht="18" customHeight="1" spans="1:15">
      <c r="A35" s="41"/>
      <c r="B35" s="18">
        <f t="shared" si="6"/>
        <v>0</v>
      </c>
      <c r="C35" s="42"/>
      <c r="D35" s="43"/>
      <c r="E35" s="44"/>
      <c r="F35" s="18">
        <f t="shared" si="7"/>
        <v>0</v>
      </c>
      <c r="G35" s="27"/>
      <c r="H35" s="46">
        <v>44189</v>
      </c>
      <c r="I35" s="31">
        <v>500</v>
      </c>
      <c r="J35" s="78" t="s">
        <v>41</v>
      </c>
      <c r="K35" s="75" t="s">
        <v>73</v>
      </c>
      <c r="L35" s="76"/>
      <c r="M35" s="74"/>
      <c r="N35" s="77"/>
      <c r="O35" s="49"/>
    </row>
    <row r="36" s="1" customFormat="1" ht="18" customHeight="1" spans="1:15">
      <c r="A36" s="41"/>
      <c r="B36" s="18">
        <f t="shared" si="6"/>
        <v>14280</v>
      </c>
      <c r="C36" s="42"/>
      <c r="D36" s="43"/>
      <c r="E36" s="44"/>
      <c r="F36" s="18">
        <f t="shared" si="7"/>
        <v>0</v>
      </c>
      <c r="G36" s="27">
        <v>14280</v>
      </c>
      <c r="H36" s="46">
        <v>44189</v>
      </c>
      <c r="I36" s="31">
        <v>14280</v>
      </c>
      <c r="J36" s="83" t="s">
        <v>41</v>
      </c>
      <c r="K36" s="75" t="s">
        <v>66</v>
      </c>
      <c r="L36" s="76">
        <f>I36+I29</f>
        <v>18000</v>
      </c>
      <c r="M36" s="74"/>
      <c r="N36" s="77"/>
      <c r="O36" s="49"/>
    </row>
    <row r="37" s="1" customFormat="1" ht="18" customHeight="1" spans="1:15">
      <c r="A37" s="41"/>
      <c r="B37" s="18">
        <f t="shared" si="6"/>
        <v>0</v>
      </c>
      <c r="C37" s="42"/>
      <c r="D37" s="43"/>
      <c r="E37" s="44"/>
      <c r="F37" s="18">
        <f t="shared" si="7"/>
        <v>0</v>
      </c>
      <c r="G37" s="27"/>
      <c r="H37" s="46">
        <v>44173</v>
      </c>
      <c r="I37" s="31">
        <v>400</v>
      </c>
      <c r="J37" s="83" t="s">
        <v>41</v>
      </c>
      <c r="K37" s="84" t="s">
        <v>64</v>
      </c>
      <c r="L37" s="76"/>
      <c r="M37" s="74"/>
      <c r="N37" s="77"/>
      <c r="O37" s="49"/>
    </row>
    <row r="38" s="1" customFormat="1" ht="18" customHeight="1" spans="1:15">
      <c r="A38" s="41"/>
      <c r="B38" s="18">
        <f t="shared" si="6"/>
        <v>0</v>
      </c>
      <c r="C38" s="42"/>
      <c r="D38" s="43"/>
      <c r="E38" s="44"/>
      <c r="F38" s="18">
        <f t="shared" si="7"/>
        <v>0</v>
      </c>
      <c r="G38" s="27"/>
      <c r="H38" s="46">
        <v>44173</v>
      </c>
      <c r="I38" s="31">
        <v>1000</v>
      </c>
      <c r="J38" s="78" t="s">
        <v>41</v>
      </c>
      <c r="K38" s="75" t="s">
        <v>65</v>
      </c>
      <c r="L38" s="76"/>
      <c r="M38" s="74"/>
      <c r="N38" s="77"/>
      <c r="O38" s="49"/>
    </row>
    <row r="39" s="1" customFormat="1" ht="18" customHeight="1" spans="1:15">
      <c r="A39" s="41"/>
      <c r="B39" s="18">
        <f t="shared" si="6"/>
        <v>72000</v>
      </c>
      <c r="C39" s="42"/>
      <c r="D39" s="43"/>
      <c r="E39" s="44"/>
      <c r="F39" s="18">
        <f t="shared" si="7"/>
        <v>0</v>
      </c>
      <c r="G39" s="27">
        <v>72000</v>
      </c>
      <c r="H39" s="46">
        <v>44173</v>
      </c>
      <c r="I39" s="31">
        <v>72000</v>
      </c>
      <c r="J39" s="78" t="s">
        <v>41</v>
      </c>
      <c r="K39" s="75" t="s">
        <v>66</v>
      </c>
      <c r="L39" s="76"/>
      <c r="M39" s="74"/>
      <c r="N39" s="77"/>
      <c r="O39" s="49"/>
    </row>
    <row r="40" s="1" customFormat="1" ht="18" customHeight="1" spans="1:15">
      <c r="A40" s="41"/>
      <c r="B40" s="18">
        <f t="shared" si="6"/>
        <v>0</v>
      </c>
      <c r="C40" s="42"/>
      <c r="D40" s="43"/>
      <c r="E40" s="44"/>
      <c r="F40" s="18">
        <f t="shared" si="7"/>
        <v>0</v>
      </c>
      <c r="G40" s="27"/>
      <c r="H40" s="46">
        <v>44173</v>
      </c>
      <c r="I40" s="31">
        <v>393361</v>
      </c>
      <c r="J40" s="78" t="s">
        <v>83</v>
      </c>
      <c r="K40" s="75" t="s">
        <v>84</v>
      </c>
      <c r="L40" s="76"/>
      <c r="M40" s="74"/>
      <c r="N40" s="77"/>
      <c r="O40" s="49"/>
    </row>
    <row r="41" s="1" customFormat="1" ht="18" customHeight="1" spans="1:15">
      <c r="A41" s="41"/>
      <c r="B41" s="18">
        <f t="shared" si="6"/>
        <v>0</v>
      </c>
      <c r="C41" s="42"/>
      <c r="D41" s="43"/>
      <c r="E41" s="44"/>
      <c r="F41" s="18">
        <f t="shared" si="7"/>
        <v>0</v>
      </c>
      <c r="G41" s="27"/>
      <c r="H41" s="46">
        <v>44173</v>
      </c>
      <c r="I41" s="31">
        <v>45000</v>
      </c>
      <c r="J41" s="78" t="s">
        <v>41</v>
      </c>
      <c r="K41" s="75" t="s">
        <v>62</v>
      </c>
      <c r="L41" s="76"/>
      <c r="M41" s="74"/>
      <c r="N41" s="77"/>
      <c r="O41" s="49"/>
    </row>
    <row r="42" s="1" customFormat="1" ht="18" customHeight="1" spans="1:15">
      <c r="A42" s="41"/>
      <c r="B42" s="18">
        <f t="shared" si="6"/>
        <v>0</v>
      </c>
      <c r="C42" s="42"/>
      <c r="D42" s="43"/>
      <c r="E42" s="44"/>
      <c r="F42" s="18">
        <f t="shared" si="7"/>
        <v>0</v>
      </c>
      <c r="G42" s="27"/>
      <c r="H42" s="46">
        <v>44173</v>
      </c>
      <c r="I42" s="31">
        <v>2477</v>
      </c>
      <c r="J42" s="78" t="s">
        <v>41</v>
      </c>
      <c r="K42" s="75" t="s">
        <v>54</v>
      </c>
      <c r="L42" s="76"/>
      <c r="M42" s="74"/>
      <c r="N42" s="77"/>
      <c r="O42" s="49"/>
    </row>
    <row r="43" s="1" customFormat="1" ht="18" customHeight="1" spans="1:15">
      <c r="A43" s="41"/>
      <c r="B43" s="18">
        <f t="shared" si="6"/>
        <v>0</v>
      </c>
      <c r="C43" s="42"/>
      <c r="D43" s="43"/>
      <c r="E43" s="44"/>
      <c r="F43" s="18">
        <f t="shared" si="7"/>
        <v>0</v>
      </c>
      <c r="G43" s="27"/>
      <c r="H43" s="49"/>
      <c r="I43" s="49"/>
      <c r="J43" s="77"/>
      <c r="K43" s="49"/>
      <c r="L43" s="76"/>
      <c r="M43" s="74"/>
      <c r="N43" s="77"/>
      <c r="O43" s="49"/>
    </row>
    <row r="44" ht="18" customHeight="1" spans="1:15">
      <c r="A44" s="36" t="s">
        <v>21</v>
      </c>
      <c r="B44" s="35">
        <f t="shared" ref="B44:G44" si="8">SUM(B16:B43)</f>
        <v>3999968.5</v>
      </c>
      <c r="C44" s="36"/>
      <c r="D44" s="50"/>
      <c r="E44" s="50"/>
      <c r="F44" s="38">
        <f t="shared" si="8"/>
        <v>344306.95</v>
      </c>
      <c r="G44" s="51">
        <f t="shared" si="8"/>
        <v>4338320</v>
      </c>
      <c r="H44" s="52"/>
      <c r="I44" s="37">
        <f>SUM(I16:I42)</f>
        <v>3681820</v>
      </c>
      <c r="J44" s="85"/>
      <c r="K44" s="50"/>
      <c r="L44" s="39"/>
      <c r="M44" s="69"/>
      <c r="N44" s="69"/>
      <c r="O44" s="39"/>
    </row>
    <row r="45" ht="18" customHeight="1" spans="1:14">
      <c r="A45" s="53" t="s">
        <v>43</v>
      </c>
      <c r="B45" s="54">
        <f>B13*0.96</f>
        <v>3963302.75229358</v>
      </c>
      <c r="C45" s="53"/>
      <c r="D45" s="55"/>
      <c r="E45" s="55"/>
      <c r="F45" s="54"/>
      <c r="G45" s="56">
        <f>G13-G44</f>
        <v>161680</v>
      </c>
      <c r="H45" s="22" t="s">
        <v>44</v>
      </c>
      <c r="I45" s="37">
        <f>I13-I44</f>
        <v>818180</v>
      </c>
      <c r="J45" s="86"/>
      <c r="K45" s="87"/>
      <c r="M45" s="86"/>
      <c r="N45" s="86"/>
    </row>
    <row r="46" ht="18" customHeight="1" spans="1:14">
      <c r="A46" s="53" t="s">
        <v>45</v>
      </c>
      <c r="B46" s="54">
        <f>B45-B44</f>
        <v>-36665.747706423</v>
      </c>
      <c r="C46" s="53"/>
      <c r="D46" s="55"/>
      <c r="E46" s="55"/>
      <c r="F46" s="54"/>
      <c r="G46" s="56"/>
      <c r="H46" s="57"/>
      <c r="I46" s="54"/>
      <c r="J46" s="86"/>
      <c r="K46" s="87"/>
      <c r="M46" s="86"/>
      <c r="N46" s="86"/>
    </row>
    <row r="47" ht="18" customHeight="1" spans="1:3">
      <c r="A47" s="2" t="s">
        <v>46</v>
      </c>
      <c r="C47" s="2"/>
    </row>
    <row r="48" ht="18" customHeight="1" spans="1:8">
      <c r="A48" s="22" t="s">
        <v>47</v>
      </c>
      <c r="B48" s="21" t="s">
        <v>48</v>
      </c>
      <c r="C48" s="39"/>
      <c r="D48" s="22" t="s">
        <v>47</v>
      </c>
      <c r="E48" s="20" t="s">
        <v>16</v>
      </c>
      <c r="F48" s="51" t="s">
        <v>48</v>
      </c>
      <c r="G48" s="58" t="s">
        <v>63</v>
      </c>
      <c r="H48" s="12" t="s">
        <v>85</v>
      </c>
    </row>
    <row r="49" ht="18" customHeight="1" spans="1:8">
      <c r="A49" s="39" t="s">
        <v>49</v>
      </c>
      <c r="B49" s="18">
        <f>(B45-B44)*0.25</f>
        <v>-9166.43692660576</v>
      </c>
      <c r="C49" s="39"/>
      <c r="D49" s="34" t="s">
        <v>50</v>
      </c>
      <c r="E49" s="22" t="s">
        <v>51</v>
      </c>
      <c r="F49" s="59">
        <f>F13-F44</f>
        <v>-55316.1243119266</v>
      </c>
      <c r="G49" s="60">
        <v>-21690.7643119266</v>
      </c>
      <c r="H49" s="12"/>
    </row>
    <row r="50" ht="18" customHeight="1" spans="1:8">
      <c r="A50" s="39" t="s">
        <v>52</v>
      </c>
      <c r="B50" s="61"/>
      <c r="C50" s="39"/>
      <c r="D50" s="62" t="s">
        <v>53</v>
      </c>
      <c r="E50" s="14">
        <v>0.05</v>
      </c>
      <c r="F50" s="63">
        <f>F49*E50</f>
        <v>-2765.80621559633</v>
      </c>
      <c r="G50" s="60">
        <v>-1084.53821559633</v>
      </c>
      <c r="H50" s="12"/>
    </row>
    <row r="51" ht="18" customHeight="1" spans="1:8">
      <c r="A51" s="39" t="s">
        <v>54</v>
      </c>
      <c r="B51" s="61"/>
      <c r="C51" s="39"/>
      <c r="D51" s="62" t="s">
        <v>55</v>
      </c>
      <c r="E51" s="14">
        <v>0.03</v>
      </c>
      <c r="F51" s="63">
        <f>F49*E51</f>
        <v>-1659.4837293578</v>
      </c>
      <c r="G51" s="60">
        <v>-650.722929357798</v>
      </c>
      <c r="H51" s="12"/>
    </row>
    <row r="52" ht="18" customHeight="1" spans="1:8">
      <c r="A52" s="39"/>
      <c r="B52" s="29"/>
      <c r="C52" s="39"/>
      <c r="D52" s="62" t="s">
        <v>56</v>
      </c>
      <c r="E52" s="14">
        <v>0.02</v>
      </c>
      <c r="F52" s="63">
        <f>F49*E52</f>
        <v>-1106.32248623853</v>
      </c>
      <c r="G52" s="60">
        <v>-433.815286238532</v>
      </c>
      <c r="H52" s="12"/>
    </row>
    <row r="53" ht="18" customHeight="1" spans="1:8">
      <c r="A53" s="34" t="s">
        <v>57</v>
      </c>
      <c r="B53" s="35">
        <f>SUM(B49:B52)</f>
        <v>-9166.43692660576</v>
      </c>
      <c r="C53" s="39"/>
      <c r="D53" s="40" t="s">
        <v>57</v>
      </c>
      <c r="E53" s="34"/>
      <c r="F53" s="59">
        <f>SUM(F49:F52)</f>
        <v>-60847.7367431193</v>
      </c>
      <c r="G53" s="60">
        <v>0</v>
      </c>
      <c r="H53" s="12"/>
    </row>
    <row r="54" ht="18" customHeight="1" spans="3:8">
      <c r="C54" s="2"/>
      <c r="D54" s="12" t="s">
        <v>52</v>
      </c>
      <c r="E54" s="64">
        <v>0.0003</v>
      </c>
      <c r="F54" s="63">
        <f>G13*E54</f>
        <v>1350</v>
      </c>
      <c r="G54" s="60"/>
      <c r="H54" s="12"/>
    </row>
    <row r="55" ht="18" customHeight="1" spans="3:8">
      <c r="C55" s="2"/>
      <c r="D55" s="12" t="s">
        <v>54</v>
      </c>
      <c r="E55" s="64">
        <v>0.0006</v>
      </c>
      <c r="F55" s="63">
        <f>B13*E55</f>
        <v>2477.06422018349</v>
      </c>
      <c r="G55" s="60">
        <v>2477.06422018349</v>
      </c>
      <c r="H55" s="12"/>
    </row>
    <row r="56" ht="18" customHeight="1" spans="3:8">
      <c r="C56" s="2"/>
      <c r="D56" s="20" t="s">
        <v>57</v>
      </c>
      <c r="E56" s="50"/>
      <c r="F56" s="65">
        <f>F55+F54</f>
        <v>3827.06422018349</v>
      </c>
      <c r="G56" s="60"/>
      <c r="H56" s="12"/>
    </row>
    <row r="57" ht="18" customHeight="1" spans="3:8">
      <c r="C57" s="2"/>
      <c r="D57" s="20" t="s">
        <v>21</v>
      </c>
      <c r="E57" s="36"/>
      <c r="F57" s="65">
        <f>F53+F56</f>
        <v>-57020.6725229358</v>
      </c>
      <c r="G57" s="60"/>
      <c r="H57" s="12"/>
    </row>
    <row r="58" ht="18" customHeight="1" spans="3:8">
      <c r="C58" s="2"/>
      <c r="D58" s="36" t="s">
        <v>49</v>
      </c>
      <c r="E58" s="50"/>
      <c r="F58" s="65">
        <v>0.01</v>
      </c>
      <c r="G58" s="60">
        <v>45000</v>
      </c>
      <c r="H58" s="12"/>
    </row>
    <row r="59" ht="18" customHeight="1" spans="3:8">
      <c r="C59" s="2"/>
      <c r="D59" s="12" t="s">
        <v>21</v>
      </c>
      <c r="E59" s="12"/>
      <c r="G59" s="60"/>
      <c r="H59" s="12"/>
    </row>
    <row r="60" ht="18" customHeight="1" spans="3:8">
      <c r="C60" s="2"/>
      <c r="D60" s="4" t="s">
        <v>61</v>
      </c>
      <c r="G60" s="88">
        <v>393361.085573394</v>
      </c>
      <c r="H60" s="12">
        <f>-(G60-0*0.25)</f>
        <v>-393361.085573394</v>
      </c>
    </row>
    <row r="61" ht="18" customHeight="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5:O6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topLeftCell="A36" workbookViewId="0">
      <selection activeCell="G30" sqref="G30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2.8833333333333" style="3" customWidth="1"/>
    <col min="7" max="7" width="14.1333333333333" style="5" customWidth="1"/>
    <col min="8" max="8" width="10.8833333333333" style="4" customWidth="1"/>
    <col min="9" max="9" width="13.8833333333333" style="3" customWidth="1"/>
    <col min="10" max="10" width="6.13333333333333" style="6" customWidth="1"/>
    <col min="11" max="11" width="31.5" style="7" customWidth="1"/>
    <col min="12" max="12" width="12.75" style="7" customWidth="1"/>
    <col min="13" max="13" width="6" style="7" customWidth="1"/>
    <col min="14" max="14" width="5.63333333333333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31" customHeight="1" spans="1:12">
      <c r="A2" s="10" t="s">
        <v>1</v>
      </c>
      <c r="B2" s="11">
        <v>44044</v>
      </c>
      <c r="C2" s="12" t="s">
        <v>2</v>
      </c>
      <c r="D2" s="13">
        <v>6011524</v>
      </c>
      <c r="E2" s="14" t="s">
        <v>3</v>
      </c>
      <c r="F2" s="15" t="s">
        <v>86</v>
      </c>
      <c r="G2" s="16" t="s">
        <v>5</v>
      </c>
      <c r="H2" s="17" t="s">
        <v>6</v>
      </c>
      <c r="I2" s="66"/>
      <c r="J2" s="67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8"/>
      <c r="J3" s="19"/>
      <c r="K3" s="19"/>
      <c r="L3" s="19"/>
    </row>
    <row r="4" ht="18" customHeight="1" spans="1:12">
      <c r="A4" s="2" t="s">
        <v>9</v>
      </c>
      <c r="H4" s="19"/>
      <c r="I4" s="68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 t="s">
        <v>59</v>
      </c>
      <c r="B7" s="18">
        <f t="shared" ref="B7:B10" si="0">G7/(1+C7+E7)</f>
        <v>4128440.36697248</v>
      </c>
      <c r="C7" s="24">
        <v>0.02</v>
      </c>
      <c r="D7" s="25">
        <f t="shared" ref="D7:D10" si="1">G7/(1+E7+C7)*C7</f>
        <v>82568.8073394495</v>
      </c>
      <c r="E7" s="26">
        <v>0.07</v>
      </c>
      <c r="F7" s="18">
        <f t="shared" ref="F7:F10" si="2">G7/(1+C7+E7)*E7</f>
        <v>288990.825688073</v>
      </c>
      <c r="G7" s="27">
        <v>4500000</v>
      </c>
      <c r="H7" s="28">
        <v>44167</v>
      </c>
      <c r="I7" s="29">
        <v>2856000</v>
      </c>
      <c r="J7" s="69" t="s">
        <v>38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2">
        <v>0.07</v>
      </c>
      <c r="F8" s="29">
        <f t="shared" si="2"/>
        <v>0</v>
      </c>
      <c r="G8" s="27"/>
      <c r="H8" s="28">
        <v>44167</v>
      </c>
      <c r="I8" s="29">
        <v>744000</v>
      </c>
      <c r="J8" s="69" t="s">
        <v>38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2">
        <v>0.07</v>
      </c>
      <c r="F9" s="29">
        <f t="shared" si="2"/>
        <v>0</v>
      </c>
      <c r="G9" s="27"/>
      <c r="H9" s="33">
        <v>44181</v>
      </c>
      <c r="I9" s="70">
        <v>714000</v>
      </c>
      <c r="J9" s="69" t="s">
        <v>67</v>
      </c>
    </row>
    <row r="10" ht="18" customHeight="1" spans="1:11">
      <c r="A10" s="28"/>
      <c r="B10" s="29">
        <f t="shared" si="0"/>
        <v>0</v>
      </c>
      <c r="C10" s="30">
        <v>0.02</v>
      </c>
      <c r="D10" s="31">
        <f t="shared" si="1"/>
        <v>0</v>
      </c>
      <c r="E10" s="32">
        <v>0.07</v>
      </c>
      <c r="F10" s="29">
        <f t="shared" si="2"/>
        <v>0</v>
      </c>
      <c r="G10" s="27"/>
      <c r="H10" s="28">
        <v>44182</v>
      </c>
      <c r="I10" s="29">
        <v>186000</v>
      </c>
      <c r="J10" s="69" t="s">
        <v>67</v>
      </c>
      <c r="K10" s="7">
        <f>I9+I10-I24-I26</f>
        <v>150000</v>
      </c>
    </row>
    <row r="11" ht="18" customHeight="1" spans="1:10">
      <c r="A11" s="28"/>
      <c r="B11" s="29"/>
      <c r="C11" s="30"/>
      <c r="D11" s="31"/>
      <c r="E11" s="32"/>
      <c r="F11" s="29"/>
      <c r="G11" s="27"/>
      <c r="H11" s="28"/>
      <c r="I11" s="29"/>
      <c r="J11" s="69"/>
    </row>
    <row r="12" ht="18" customHeight="1" spans="1:10">
      <c r="A12" s="28"/>
      <c r="B12" s="29"/>
      <c r="C12" s="30"/>
      <c r="D12" s="31"/>
      <c r="E12" s="32"/>
      <c r="F12" s="29"/>
      <c r="G12" s="27"/>
      <c r="H12" s="28"/>
      <c r="I12" s="29"/>
      <c r="J12" s="69"/>
    </row>
    <row r="13" ht="18" customHeight="1" spans="1:10">
      <c r="A13" s="34" t="s">
        <v>21</v>
      </c>
      <c r="B13" s="35">
        <f t="shared" ref="B13:G13" si="3">SUM(B7:B10)</f>
        <v>4128440.36697248</v>
      </c>
      <c r="C13" s="36"/>
      <c r="D13" s="37">
        <f t="shared" si="3"/>
        <v>82568.8073394495</v>
      </c>
      <c r="E13" s="36"/>
      <c r="F13" s="38">
        <f t="shared" si="3"/>
        <v>288990.825688073</v>
      </c>
      <c r="G13" s="21">
        <f t="shared" si="3"/>
        <v>4500000</v>
      </c>
      <c r="H13" s="39"/>
      <c r="I13" s="37">
        <f>SUM(I7:I12)</f>
        <v>4500000</v>
      </c>
      <c r="J13" s="69"/>
    </row>
    <row r="14" ht="18" customHeight="1" spans="1:12">
      <c r="A14" s="2" t="s">
        <v>22</v>
      </c>
      <c r="J14" s="71"/>
      <c r="K14" s="4"/>
      <c r="L14" s="72"/>
    </row>
    <row r="15" ht="18" customHeight="1" spans="1:15">
      <c r="A15" s="40" t="s">
        <v>23</v>
      </c>
      <c r="B15" s="21" t="s">
        <v>24</v>
      </c>
      <c r="C15" s="20" t="s">
        <v>25</v>
      </c>
      <c r="D15" s="20" t="s">
        <v>26</v>
      </c>
      <c r="E15" s="20" t="s">
        <v>16</v>
      </c>
      <c r="F15" s="21" t="s">
        <v>27</v>
      </c>
      <c r="G15" s="21" t="s">
        <v>14</v>
      </c>
      <c r="H15" s="20" t="s">
        <v>28</v>
      </c>
      <c r="I15" s="21" t="s">
        <v>29</v>
      </c>
      <c r="J15" s="20" t="s">
        <v>20</v>
      </c>
      <c r="K15" s="73" t="s">
        <v>30</v>
      </c>
      <c r="L15" s="22" t="s">
        <v>31</v>
      </c>
      <c r="M15" s="22" t="s">
        <v>32</v>
      </c>
      <c r="N15" s="22" t="s">
        <v>33</v>
      </c>
      <c r="O15" s="22" t="s">
        <v>34</v>
      </c>
    </row>
    <row r="16" s="1" customFormat="1" ht="18" customHeight="1" spans="1:15">
      <c r="A16" s="41"/>
      <c r="B16" s="18">
        <f t="shared" ref="B16:B21" si="4">ROUND(G16/(1+E16),2)</f>
        <v>0</v>
      </c>
      <c r="C16" s="42"/>
      <c r="D16" s="43"/>
      <c r="E16" s="44"/>
      <c r="F16" s="18">
        <f t="shared" ref="F16:F27" si="5">ROUND(G16/(1+E16)*E16,2)</f>
        <v>0</v>
      </c>
      <c r="G16" s="27"/>
      <c r="H16" s="45">
        <v>44141</v>
      </c>
      <c r="I16" s="25">
        <v>-189000</v>
      </c>
      <c r="J16" s="74" t="s">
        <v>35</v>
      </c>
      <c r="K16" s="75" t="s">
        <v>36</v>
      </c>
      <c r="L16" s="76" t="s">
        <v>37</v>
      </c>
      <c r="M16" s="77"/>
      <c r="N16" s="77"/>
      <c r="O16" s="49"/>
    </row>
    <row r="17" s="1" customFormat="1" ht="18" customHeight="1" spans="1:15">
      <c r="A17" s="41"/>
      <c r="B17" s="18">
        <f t="shared" si="4"/>
        <v>0</v>
      </c>
      <c r="C17" s="42"/>
      <c r="D17" s="43"/>
      <c r="E17" s="44"/>
      <c r="F17" s="18">
        <f t="shared" si="5"/>
        <v>0</v>
      </c>
      <c r="G17" s="27"/>
      <c r="H17" s="45">
        <v>44141</v>
      </c>
      <c r="I17" s="25">
        <v>189000</v>
      </c>
      <c r="J17" s="74" t="s">
        <v>38</v>
      </c>
      <c r="K17" s="75" t="s">
        <v>39</v>
      </c>
      <c r="L17" s="76" t="s">
        <v>40</v>
      </c>
      <c r="M17" s="77"/>
      <c r="N17" s="77"/>
      <c r="O17" s="49"/>
    </row>
    <row r="18" s="1" customFormat="1" ht="18" customHeight="1" spans="1:15">
      <c r="A18" s="41"/>
      <c r="B18" s="18">
        <f t="shared" si="4"/>
        <v>0</v>
      </c>
      <c r="C18" s="42"/>
      <c r="D18" s="43"/>
      <c r="E18" s="44"/>
      <c r="F18" s="18">
        <f t="shared" si="5"/>
        <v>0</v>
      </c>
      <c r="G18" s="27"/>
      <c r="H18" s="46">
        <v>44151</v>
      </c>
      <c r="I18" s="31">
        <v>-276290</v>
      </c>
      <c r="J18" s="74" t="s">
        <v>35</v>
      </c>
      <c r="K18" s="75" t="s">
        <v>36</v>
      </c>
      <c r="L18" s="76" t="s">
        <v>37</v>
      </c>
      <c r="M18" s="74"/>
      <c r="N18" s="77"/>
      <c r="O18" s="49"/>
    </row>
    <row r="19" s="1" customFormat="1" ht="18" customHeight="1" spans="2:15">
      <c r="B19" s="18">
        <f t="shared" si="4"/>
        <v>0</v>
      </c>
      <c r="C19" s="42"/>
      <c r="D19" s="43"/>
      <c r="E19" s="44"/>
      <c r="F19" s="18">
        <f t="shared" si="5"/>
        <v>0</v>
      </c>
      <c r="G19" s="27"/>
      <c r="H19" s="46">
        <v>44151</v>
      </c>
      <c r="I19" s="31">
        <v>276290</v>
      </c>
      <c r="J19" s="74" t="s">
        <v>38</v>
      </c>
      <c r="K19" s="75" t="s">
        <v>39</v>
      </c>
      <c r="L19" s="76" t="s">
        <v>40</v>
      </c>
      <c r="M19" s="74"/>
      <c r="N19" s="77"/>
      <c r="O19" s="49"/>
    </row>
    <row r="20" s="1" customFormat="1" ht="18" customHeight="1" spans="1:15">
      <c r="A20" s="41">
        <v>44154</v>
      </c>
      <c r="B20" s="18">
        <f t="shared" si="4"/>
        <v>2389858.41</v>
      </c>
      <c r="C20" s="42"/>
      <c r="D20" s="43" t="s">
        <v>60</v>
      </c>
      <c r="E20" s="47">
        <v>0.13</v>
      </c>
      <c r="F20" s="18">
        <f t="shared" si="5"/>
        <v>310681.59</v>
      </c>
      <c r="G20" s="27">
        <v>2700540</v>
      </c>
      <c r="H20" s="46">
        <v>44173</v>
      </c>
      <c r="I20" s="31">
        <v>2100000</v>
      </c>
      <c r="J20" s="74" t="s">
        <v>38</v>
      </c>
      <c r="K20" s="75" t="s">
        <v>39</v>
      </c>
      <c r="L20" s="76" t="s">
        <v>40</v>
      </c>
      <c r="M20" s="74"/>
      <c r="N20" s="77"/>
      <c r="O20" s="49"/>
    </row>
    <row r="21" s="1" customFormat="1" ht="18" customHeight="1" spans="1:15">
      <c r="A21" s="41"/>
      <c r="B21" s="18">
        <f t="shared" si="4"/>
        <v>0</v>
      </c>
      <c r="C21" s="42"/>
      <c r="D21" s="43"/>
      <c r="E21" s="44"/>
      <c r="F21" s="18">
        <f t="shared" si="5"/>
        <v>0</v>
      </c>
      <c r="G21" s="27"/>
      <c r="H21" s="46">
        <v>44189</v>
      </c>
      <c r="I21" s="31">
        <v>210120</v>
      </c>
      <c r="J21" s="74" t="s">
        <v>38</v>
      </c>
      <c r="K21" s="75" t="s">
        <v>39</v>
      </c>
      <c r="L21" s="76"/>
      <c r="M21" s="74"/>
      <c r="N21" s="77"/>
      <c r="O21" s="49"/>
    </row>
    <row r="22" s="1" customFormat="1" ht="18" customHeight="1" spans="1:15">
      <c r="A22" s="41">
        <v>44166</v>
      </c>
      <c r="B22" s="18">
        <f>G22</f>
        <v>601500</v>
      </c>
      <c r="C22" s="42">
        <v>1</v>
      </c>
      <c r="D22" s="43" t="s">
        <v>74</v>
      </c>
      <c r="E22" s="47"/>
      <c r="F22" s="18">
        <f>ROUND(G22/(1+E22)*E22,2)</f>
        <v>0</v>
      </c>
      <c r="G22" s="27">
        <v>601500</v>
      </c>
      <c r="H22" s="46"/>
      <c r="I22" s="31"/>
      <c r="J22" s="78"/>
      <c r="K22" s="75" t="s">
        <v>69</v>
      </c>
      <c r="L22" s="76" t="s">
        <v>70</v>
      </c>
      <c r="M22" s="74"/>
      <c r="N22" s="77"/>
      <c r="O22" s="49"/>
    </row>
    <row r="23" s="1" customFormat="1" ht="18" customHeight="1" spans="1:15">
      <c r="A23" s="41">
        <v>44166</v>
      </c>
      <c r="B23" s="18">
        <f>ROUND(G23/(1+E23),2)</f>
        <v>485436.89</v>
      </c>
      <c r="C23" s="42">
        <v>6</v>
      </c>
      <c r="D23" s="43" t="s">
        <v>60</v>
      </c>
      <c r="E23" s="47">
        <v>0.03</v>
      </c>
      <c r="F23" s="18">
        <f t="shared" si="5"/>
        <v>14563.11</v>
      </c>
      <c r="G23" s="27">
        <v>500000</v>
      </c>
      <c r="H23" s="46">
        <v>44194</v>
      </c>
      <c r="I23" s="31">
        <v>500000</v>
      </c>
      <c r="J23" s="74" t="s">
        <v>38</v>
      </c>
      <c r="K23" s="75" t="s">
        <v>71</v>
      </c>
      <c r="L23" s="76" t="s">
        <v>72</v>
      </c>
      <c r="M23" s="74"/>
      <c r="N23" s="77"/>
      <c r="O23" s="49"/>
    </row>
    <row r="24" s="1" customFormat="1" ht="18" customHeight="1" spans="1:15">
      <c r="A24" s="41">
        <v>44166</v>
      </c>
      <c r="B24" s="18">
        <f>ROUND(G24/(1+E24),2)</f>
        <v>436893.2</v>
      </c>
      <c r="C24" s="42">
        <v>5</v>
      </c>
      <c r="D24" s="43" t="s">
        <v>60</v>
      </c>
      <c r="E24" s="47">
        <v>0.03</v>
      </c>
      <c r="F24" s="18">
        <f t="shared" si="5"/>
        <v>13106.8</v>
      </c>
      <c r="G24" s="27">
        <v>450000</v>
      </c>
      <c r="H24" s="46">
        <v>44194</v>
      </c>
      <c r="I24" s="31">
        <v>450000</v>
      </c>
      <c r="J24" s="78" t="s">
        <v>67</v>
      </c>
      <c r="K24" s="75" t="s">
        <v>71</v>
      </c>
      <c r="L24" s="76" t="s">
        <v>75</v>
      </c>
      <c r="M24" s="74"/>
      <c r="N24" s="77"/>
      <c r="O24" s="49"/>
    </row>
    <row r="25" s="1" customFormat="1" ht="18" customHeight="1" spans="2:15">
      <c r="B25" s="18">
        <f>ROUND(G25/(1+E25),2)</f>
        <v>0</v>
      </c>
      <c r="E25" s="47"/>
      <c r="F25" s="18">
        <f t="shared" si="5"/>
        <v>0</v>
      </c>
      <c r="G25" s="27"/>
      <c r="H25" s="46">
        <v>44194</v>
      </c>
      <c r="I25" s="31">
        <v>401500</v>
      </c>
      <c r="J25" s="74" t="s">
        <v>38</v>
      </c>
      <c r="K25" s="75" t="s">
        <v>69</v>
      </c>
      <c r="L25" s="76" t="s">
        <v>76</v>
      </c>
      <c r="M25" s="74"/>
      <c r="N25" s="77"/>
      <c r="O25" s="49"/>
    </row>
    <row r="26" s="1" customFormat="1" ht="18" customHeight="1" spans="1:15">
      <c r="A26" s="41">
        <v>44209</v>
      </c>
      <c r="B26" s="18">
        <f>ROUND(G26/(1+E26),2)</f>
        <v>291262.14</v>
      </c>
      <c r="C26" s="42">
        <v>1</v>
      </c>
      <c r="D26" s="43" t="s">
        <v>60</v>
      </c>
      <c r="E26" s="47">
        <v>0.03</v>
      </c>
      <c r="F26" s="18">
        <f t="shared" si="5"/>
        <v>8737.86</v>
      </c>
      <c r="G26" s="27">
        <v>300000</v>
      </c>
      <c r="H26" s="48">
        <v>44211</v>
      </c>
      <c r="I26" s="79">
        <v>300000</v>
      </c>
      <c r="J26" s="80" t="s">
        <v>67</v>
      </c>
      <c r="K26" s="81" t="s">
        <v>71</v>
      </c>
      <c r="L26" s="76" t="s">
        <v>75</v>
      </c>
      <c r="M26" s="74"/>
      <c r="N26" s="77"/>
      <c r="O26" s="49"/>
    </row>
    <row r="27" s="1" customFormat="1" ht="18" customHeight="1" spans="1:15">
      <c r="A27" s="41">
        <v>44197</v>
      </c>
      <c r="B27" s="18">
        <f>ROUND(G27/(1+E27),2)</f>
        <v>409955.75</v>
      </c>
      <c r="C27" s="42">
        <v>5</v>
      </c>
      <c r="D27" s="43" t="s">
        <v>60</v>
      </c>
      <c r="E27" s="47">
        <v>0.13</v>
      </c>
      <c r="F27" s="18">
        <f t="shared" si="5"/>
        <v>53294.25</v>
      </c>
      <c r="G27" s="27">
        <v>463250</v>
      </c>
      <c r="H27" s="48">
        <v>44211</v>
      </c>
      <c r="I27" s="79">
        <v>388000</v>
      </c>
      <c r="J27" s="80" t="s">
        <v>38</v>
      </c>
      <c r="K27" s="81" t="s">
        <v>39</v>
      </c>
      <c r="L27" s="76" t="s">
        <v>40</v>
      </c>
      <c r="M27" s="74"/>
      <c r="N27" s="77"/>
      <c r="O27" s="49"/>
    </row>
    <row r="28" s="1" customFormat="1" ht="18" customHeight="1" spans="1:15">
      <c r="A28" s="41"/>
      <c r="B28" s="18"/>
      <c r="C28" s="42"/>
      <c r="D28" s="43"/>
      <c r="E28" s="47"/>
      <c r="F28" s="18"/>
      <c r="G28" s="27"/>
      <c r="H28" s="46"/>
      <c r="I28" s="31"/>
      <c r="J28" s="74"/>
      <c r="K28" s="75"/>
      <c r="L28" s="76"/>
      <c r="M28" s="74"/>
      <c r="N28" s="77"/>
      <c r="O28" s="49"/>
    </row>
    <row r="29" s="1" customFormat="1" ht="18" customHeight="1" spans="1:15">
      <c r="A29" s="41"/>
      <c r="B29" s="18"/>
      <c r="C29" s="42"/>
      <c r="D29" s="43"/>
      <c r="E29" s="47"/>
      <c r="F29" s="18"/>
      <c r="G29" s="27"/>
      <c r="H29" s="46"/>
      <c r="I29" s="31"/>
      <c r="J29" s="74"/>
      <c r="K29" s="75"/>
      <c r="L29" s="76"/>
      <c r="M29" s="74"/>
      <c r="N29" s="77"/>
      <c r="O29" s="49"/>
    </row>
    <row r="30" s="1" customFormat="1" ht="18" customHeight="1" spans="1:15">
      <c r="A30" s="41"/>
      <c r="B30" s="18"/>
      <c r="C30" s="42"/>
      <c r="D30" s="43"/>
      <c r="E30" s="47"/>
      <c r="F30" s="18"/>
      <c r="G30" s="27"/>
      <c r="H30" s="46"/>
      <c r="I30" s="31"/>
      <c r="J30" s="74"/>
      <c r="K30" s="75"/>
      <c r="L30" s="76"/>
      <c r="M30" s="74"/>
      <c r="N30" s="77"/>
      <c r="O30" s="49"/>
    </row>
    <row r="31" s="1" customFormat="1" ht="18" customHeight="1" spans="1:15">
      <c r="A31" s="41"/>
      <c r="B31" s="18"/>
      <c r="C31" s="42"/>
      <c r="D31" s="43"/>
      <c r="E31" s="47"/>
      <c r="F31" s="18"/>
      <c r="G31" s="27"/>
      <c r="H31" s="46"/>
      <c r="I31" s="31"/>
      <c r="J31" s="74"/>
      <c r="K31" s="75"/>
      <c r="L31" s="76"/>
      <c r="M31" s="74"/>
      <c r="N31" s="77"/>
      <c r="O31" s="49"/>
    </row>
    <row r="32" s="1" customFormat="1" ht="18" customHeight="1" spans="1:15">
      <c r="A32" s="41"/>
      <c r="B32" s="18"/>
      <c r="C32" s="42"/>
      <c r="D32" s="43"/>
      <c r="E32" s="47"/>
      <c r="F32" s="18"/>
      <c r="G32" s="27"/>
      <c r="H32" s="48">
        <v>44211</v>
      </c>
      <c r="I32" s="79">
        <v>100</v>
      </c>
      <c r="J32" s="82" t="s">
        <v>41</v>
      </c>
      <c r="K32" s="81" t="s">
        <v>64</v>
      </c>
      <c r="L32" s="76"/>
      <c r="M32" s="74"/>
      <c r="N32" s="77"/>
      <c r="O32" s="49"/>
    </row>
    <row r="33" s="1" customFormat="1" ht="18" customHeight="1" spans="1:15">
      <c r="A33" s="41"/>
      <c r="B33" s="18"/>
      <c r="C33" s="42"/>
      <c r="D33" s="43"/>
      <c r="E33" s="47"/>
      <c r="F33" s="18"/>
      <c r="G33" s="27"/>
      <c r="H33" s="48">
        <v>44211</v>
      </c>
      <c r="I33" s="79">
        <v>-2200</v>
      </c>
      <c r="J33" s="82" t="s">
        <v>80</v>
      </c>
      <c r="K33" s="81" t="s">
        <v>87</v>
      </c>
      <c r="L33" s="76"/>
      <c r="M33" s="74"/>
      <c r="N33" s="77"/>
      <c r="O33" s="49"/>
    </row>
    <row r="34" s="1" customFormat="1" ht="18" customHeight="1" spans="1:15">
      <c r="A34" s="41"/>
      <c r="B34" s="18"/>
      <c r="C34" s="42"/>
      <c r="D34" s="43"/>
      <c r="E34" s="47"/>
      <c r="F34" s="18"/>
      <c r="G34" s="27"/>
      <c r="H34" s="48">
        <v>44211</v>
      </c>
      <c r="I34" s="79">
        <v>-18000</v>
      </c>
      <c r="J34" s="82" t="s">
        <v>80</v>
      </c>
      <c r="K34" s="81" t="s">
        <v>87</v>
      </c>
      <c r="L34" s="76"/>
      <c r="M34" s="74"/>
      <c r="N34" s="77"/>
      <c r="O34" s="49"/>
    </row>
    <row r="35" s="1" customFormat="1" ht="18" customHeight="1" spans="1:15">
      <c r="A35" s="41"/>
      <c r="B35" s="27">
        <v>3720</v>
      </c>
      <c r="C35" s="42"/>
      <c r="D35" s="43"/>
      <c r="E35" s="47"/>
      <c r="F35" s="18"/>
      <c r="G35" s="27">
        <v>3720</v>
      </c>
      <c r="H35" s="46">
        <v>44194</v>
      </c>
      <c r="I35" s="31">
        <v>3720</v>
      </c>
      <c r="J35" s="78" t="s">
        <v>41</v>
      </c>
      <c r="K35" s="75" t="s">
        <v>77</v>
      </c>
      <c r="L35" s="76"/>
      <c r="M35" s="74"/>
      <c r="N35" s="77"/>
      <c r="O35" s="49"/>
    </row>
    <row r="36" s="1" customFormat="1" ht="18" customHeight="1" spans="1:15">
      <c r="A36" s="41"/>
      <c r="B36" s="18"/>
      <c r="C36" s="42"/>
      <c r="D36" s="43"/>
      <c r="E36" s="47"/>
      <c r="F36" s="18"/>
      <c r="G36" s="27"/>
      <c r="H36" s="46">
        <v>44194</v>
      </c>
      <c r="I36" s="31">
        <v>-393361</v>
      </c>
      <c r="J36" s="78" t="s">
        <v>78</v>
      </c>
      <c r="K36" s="75" t="s">
        <v>79</v>
      </c>
      <c r="L36" s="76"/>
      <c r="M36" s="74"/>
      <c r="N36" s="77"/>
      <c r="O36" s="49"/>
    </row>
    <row r="37" s="1" customFormat="1" ht="18" customHeight="1" spans="1:15">
      <c r="A37" s="41"/>
      <c r="B37" s="18"/>
      <c r="C37" s="42"/>
      <c r="D37" s="43"/>
      <c r="E37" s="47"/>
      <c r="F37" s="18"/>
      <c r="G37" s="27"/>
      <c r="H37" s="46">
        <v>44194</v>
      </c>
      <c r="I37" s="31">
        <v>200</v>
      </c>
      <c r="J37" s="78" t="s">
        <v>41</v>
      </c>
      <c r="K37" s="75" t="s">
        <v>64</v>
      </c>
      <c r="L37" s="76"/>
      <c r="M37" s="74"/>
      <c r="N37" s="77"/>
      <c r="O37" s="49"/>
    </row>
    <row r="38" s="1" customFormat="1" ht="18" customHeight="1" spans="1:15">
      <c r="A38" s="41"/>
      <c r="B38" s="18"/>
      <c r="C38" s="42"/>
      <c r="D38" s="43"/>
      <c r="E38" s="47"/>
      <c r="F38" s="18"/>
      <c r="G38" s="27"/>
      <c r="H38" s="46">
        <v>44194</v>
      </c>
      <c r="I38" s="31">
        <v>-47477</v>
      </c>
      <c r="J38" s="78" t="s">
        <v>80</v>
      </c>
      <c r="K38" s="75" t="s">
        <v>81</v>
      </c>
      <c r="L38" s="76"/>
      <c r="M38" s="74"/>
      <c r="N38" s="77"/>
      <c r="O38" s="49"/>
    </row>
    <row r="39" s="1" customFormat="1" ht="18" customHeight="1" spans="1:15">
      <c r="A39" s="41"/>
      <c r="B39" s="18">
        <f t="shared" ref="B39:B49" si="6">ROUND(G39/(1+E39),2)</f>
        <v>0</v>
      </c>
      <c r="C39" s="42"/>
      <c r="D39" s="43"/>
      <c r="E39" s="47"/>
      <c r="F39" s="18">
        <f t="shared" ref="F39:F49" si="7">ROUND(G39/(1+E39)*E39,2)</f>
        <v>0</v>
      </c>
      <c r="G39" s="27"/>
      <c r="H39" s="46">
        <v>44194</v>
      </c>
      <c r="I39" s="31">
        <v>-72000</v>
      </c>
      <c r="J39" s="78" t="s">
        <v>80</v>
      </c>
      <c r="K39" s="75" t="s">
        <v>82</v>
      </c>
      <c r="L39" s="76"/>
      <c r="M39" s="74"/>
      <c r="N39" s="77"/>
      <c r="O39" s="49"/>
    </row>
    <row r="40" s="1" customFormat="1" ht="18" customHeight="1" spans="1:15">
      <c r="A40" s="41"/>
      <c r="B40" s="18">
        <f t="shared" si="6"/>
        <v>0</v>
      </c>
      <c r="C40" s="42"/>
      <c r="D40" s="43"/>
      <c r="E40" s="44"/>
      <c r="F40" s="18">
        <f t="shared" si="7"/>
        <v>0</v>
      </c>
      <c r="G40" s="27"/>
      <c r="H40" s="46">
        <v>44189</v>
      </c>
      <c r="I40" s="31">
        <v>100</v>
      </c>
      <c r="J40" s="78" t="s">
        <v>41</v>
      </c>
      <c r="K40" s="75" t="s">
        <v>64</v>
      </c>
      <c r="L40" s="76"/>
      <c r="M40" s="74"/>
      <c r="N40" s="77"/>
      <c r="O40" s="49"/>
    </row>
    <row r="41" s="1" customFormat="1" ht="18" customHeight="1" spans="1:15">
      <c r="A41" s="41"/>
      <c r="B41" s="18">
        <f t="shared" si="6"/>
        <v>0</v>
      </c>
      <c r="C41" s="42"/>
      <c r="D41" s="43"/>
      <c r="E41" s="44"/>
      <c r="F41" s="18">
        <f t="shared" si="7"/>
        <v>0</v>
      </c>
      <c r="G41" s="27"/>
      <c r="H41" s="46">
        <v>44189</v>
      </c>
      <c r="I41" s="31">
        <v>500</v>
      </c>
      <c r="J41" s="78" t="s">
        <v>41</v>
      </c>
      <c r="K41" s="75" t="s">
        <v>73</v>
      </c>
      <c r="L41" s="76"/>
      <c r="M41" s="74"/>
      <c r="N41" s="77"/>
      <c r="O41" s="49"/>
    </row>
    <row r="42" s="1" customFormat="1" ht="18" customHeight="1" spans="1:15">
      <c r="A42" s="41"/>
      <c r="B42" s="18">
        <f t="shared" si="6"/>
        <v>14280</v>
      </c>
      <c r="C42" s="42"/>
      <c r="D42" s="43"/>
      <c r="E42" s="44"/>
      <c r="F42" s="18">
        <f t="shared" si="7"/>
        <v>0</v>
      </c>
      <c r="G42" s="27">
        <v>14280</v>
      </c>
      <c r="H42" s="46">
        <v>44189</v>
      </c>
      <c r="I42" s="31">
        <v>14280</v>
      </c>
      <c r="J42" s="83" t="s">
        <v>41</v>
      </c>
      <c r="K42" s="75" t="s">
        <v>66</v>
      </c>
      <c r="L42" s="76"/>
      <c r="M42" s="74"/>
      <c r="N42" s="77"/>
      <c r="O42" s="49"/>
    </row>
    <row r="43" s="1" customFormat="1" ht="18" customHeight="1" spans="1:15">
      <c r="A43" s="41"/>
      <c r="B43" s="18">
        <f t="shared" si="6"/>
        <v>0</v>
      </c>
      <c r="C43" s="42"/>
      <c r="D43" s="43"/>
      <c r="E43" s="44"/>
      <c r="F43" s="18">
        <f t="shared" si="7"/>
        <v>0</v>
      </c>
      <c r="G43" s="27"/>
      <c r="H43" s="46">
        <v>44173</v>
      </c>
      <c r="I43" s="31">
        <v>400</v>
      </c>
      <c r="J43" s="83" t="s">
        <v>41</v>
      </c>
      <c r="K43" s="84" t="s">
        <v>64</v>
      </c>
      <c r="L43" s="76"/>
      <c r="M43" s="74"/>
      <c r="N43" s="77"/>
      <c r="O43" s="49"/>
    </row>
    <row r="44" s="1" customFormat="1" ht="18" customHeight="1" spans="1:15">
      <c r="A44" s="41"/>
      <c r="B44" s="18">
        <f t="shared" si="6"/>
        <v>0</v>
      </c>
      <c r="C44" s="42"/>
      <c r="D44" s="43"/>
      <c r="E44" s="44"/>
      <c r="F44" s="18">
        <f t="shared" si="7"/>
        <v>0</v>
      </c>
      <c r="G44" s="27"/>
      <c r="H44" s="46">
        <v>44173</v>
      </c>
      <c r="I44" s="31">
        <v>1000</v>
      </c>
      <c r="J44" s="78" t="s">
        <v>41</v>
      </c>
      <c r="K44" s="75" t="s">
        <v>65</v>
      </c>
      <c r="L44" s="76"/>
      <c r="M44" s="74"/>
      <c r="N44" s="77"/>
      <c r="O44" s="49"/>
    </row>
    <row r="45" s="1" customFormat="1" ht="18" customHeight="1" spans="1:15">
      <c r="A45" s="41"/>
      <c r="B45" s="18">
        <f t="shared" si="6"/>
        <v>72000</v>
      </c>
      <c r="C45" s="42"/>
      <c r="D45" s="43"/>
      <c r="E45" s="44"/>
      <c r="F45" s="18">
        <f t="shared" si="7"/>
        <v>0</v>
      </c>
      <c r="G45" s="27">
        <v>72000</v>
      </c>
      <c r="H45" s="46">
        <v>44173</v>
      </c>
      <c r="I45" s="31">
        <v>72000</v>
      </c>
      <c r="J45" s="78" t="s">
        <v>41</v>
      </c>
      <c r="K45" s="75" t="s">
        <v>66</v>
      </c>
      <c r="L45" s="76"/>
      <c r="M45" s="74"/>
      <c r="N45" s="77"/>
      <c r="O45" s="49"/>
    </row>
    <row r="46" s="1" customFormat="1" ht="18" customHeight="1" spans="1:15">
      <c r="A46" s="41"/>
      <c r="B46" s="18">
        <f t="shared" si="6"/>
        <v>0</v>
      </c>
      <c r="C46" s="42"/>
      <c r="D46" s="43"/>
      <c r="E46" s="44"/>
      <c r="F46" s="18">
        <f t="shared" si="7"/>
        <v>0</v>
      </c>
      <c r="G46" s="27"/>
      <c r="H46" s="46">
        <v>44173</v>
      </c>
      <c r="I46" s="31">
        <v>393361</v>
      </c>
      <c r="J46" s="78" t="s">
        <v>83</v>
      </c>
      <c r="K46" s="75" t="s">
        <v>84</v>
      </c>
      <c r="L46" s="76"/>
      <c r="M46" s="74"/>
      <c r="N46" s="77"/>
      <c r="O46" s="49"/>
    </row>
    <row r="47" s="1" customFormat="1" ht="18" customHeight="1" spans="1:15">
      <c r="A47" s="41"/>
      <c r="B47" s="18">
        <f t="shared" si="6"/>
        <v>0</v>
      </c>
      <c r="C47" s="42"/>
      <c r="D47" s="43"/>
      <c r="E47" s="44"/>
      <c r="F47" s="18">
        <f t="shared" si="7"/>
        <v>0</v>
      </c>
      <c r="G47" s="27"/>
      <c r="H47" s="46">
        <v>44173</v>
      </c>
      <c r="I47" s="31">
        <v>45000</v>
      </c>
      <c r="J47" s="78" t="s">
        <v>41</v>
      </c>
      <c r="K47" s="75" t="s">
        <v>62</v>
      </c>
      <c r="L47" s="76"/>
      <c r="M47" s="74"/>
      <c r="N47" s="77"/>
      <c r="O47" s="49"/>
    </row>
    <row r="48" s="1" customFormat="1" ht="18" customHeight="1" spans="1:15">
      <c r="A48" s="41"/>
      <c r="B48" s="18">
        <f t="shared" si="6"/>
        <v>0</v>
      </c>
      <c r="C48" s="42"/>
      <c r="D48" s="43"/>
      <c r="E48" s="44"/>
      <c r="F48" s="18">
        <f t="shared" si="7"/>
        <v>0</v>
      </c>
      <c r="G48" s="27"/>
      <c r="H48" s="46">
        <v>44173</v>
      </c>
      <c r="I48" s="31">
        <v>2477</v>
      </c>
      <c r="J48" s="78" t="s">
        <v>41</v>
      </c>
      <c r="K48" s="75" t="s">
        <v>54</v>
      </c>
      <c r="L48" s="76"/>
      <c r="M48" s="74"/>
      <c r="N48" s="77"/>
      <c r="O48" s="49"/>
    </row>
    <row r="49" s="1" customFormat="1" ht="18" customHeight="1" spans="1:15">
      <c r="A49" s="41"/>
      <c r="B49" s="18">
        <f t="shared" si="6"/>
        <v>0</v>
      </c>
      <c r="C49" s="42"/>
      <c r="D49" s="43"/>
      <c r="E49" s="44"/>
      <c r="F49" s="18">
        <f t="shared" si="7"/>
        <v>0</v>
      </c>
      <c r="G49" s="27"/>
      <c r="H49" s="49"/>
      <c r="I49" s="49"/>
      <c r="J49" s="77"/>
      <c r="K49" s="49"/>
      <c r="L49" s="76"/>
      <c r="M49" s="74"/>
      <c r="N49" s="77"/>
      <c r="O49" s="49"/>
    </row>
    <row r="50" ht="18" customHeight="1" spans="1:15">
      <c r="A50" s="36" t="s">
        <v>21</v>
      </c>
      <c r="B50" s="35">
        <f>SUM(B16:B49)</f>
        <v>4704906.39</v>
      </c>
      <c r="C50" s="36"/>
      <c r="D50" s="50"/>
      <c r="E50" s="50"/>
      <c r="F50" s="38">
        <f>SUM(F16:F49)</f>
        <v>400383.61</v>
      </c>
      <c r="G50" s="51">
        <f>SUM(G16:G49)</f>
        <v>5105290</v>
      </c>
      <c r="H50" s="52"/>
      <c r="I50" s="37">
        <f>SUM(I16:I48)</f>
        <v>4349720</v>
      </c>
      <c r="J50" s="85"/>
      <c r="K50" s="50"/>
      <c r="L50" s="39"/>
      <c r="M50" s="69"/>
      <c r="N50" s="69"/>
      <c r="O50" s="39"/>
    </row>
    <row r="51" ht="18" customHeight="1" spans="1:14">
      <c r="A51" s="53" t="s">
        <v>43</v>
      </c>
      <c r="B51" s="54">
        <f>B13*0.96</f>
        <v>3963302.75229358</v>
      </c>
      <c r="C51" s="53"/>
      <c r="D51" s="55"/>
      <c r="E51" s="55"/>
      <c r="F51" s="54"/>
      <c r="G51" s="56">
        <f>G13-G50</f>
        <v>-605290</v>
      </c>
      <c r="H51" s="22" t="s">
        <v>44</v>
      </c>
      <c r="I51" s="37">
        <f>I13-I50</f>
        <v>150280</v>
      </c>
      <c r="J51" s="86"/>
      <c r="K51" s="87"/>
      <c r="M51" s="86"/>
      <c r="N51" s="86"/>
    </row>
    <row r="52" ht="18" customHeight="1" spans="1:14">
      <c r="A52" s="53" t="s">
        <v>45</v>
      </c>
      <c r="B52" s="54">
        <f>B51-B50</f>
        <v>-741603.63770642</v>
      </c>
      <c r="C52" s="53"/>
      <c r="D52" s="55"/>
      <c r="E52" s="55"/>
      <c r="F52" s="54"/>
      <c r="G52" s="56"/>
      <c r="H52" s="57"/>
      <c r="I52" s="54"/>
      <c r="J52" s="86"/>
      <c r="K52" s="87"/>
      <c r="M52" s="86"/>
      <c r="N52" s="86"/>
    </row>
    <row r="53" ht="18" customHeight="1" spans="1:3">
      <c r="A53" s="2" t="s">
        <v>46</v>
      </c>
      <c r="C53" s="2"/>
    </row>
    <row r="54" ht="18" customHeight="1" spans="1:8">
      <c r="A54" s="22" t="s">
        <v>47</v>
      </c>
      <c r="B54" s="21" t="s">
        <v>48</v>
      </c>
      <c r="C54" s="39"/>
      <c r="D54" s="22" t="s">
        <v>47</v>
      </c>
      <c r="E54" s="20" t="s">
        <v>16</v>
      </c>
      <c r="F54" s="51" t="s">
        <v>48</v>
      </c>
      <c r="G54" s="58" t="s">
        <v>63</v>
      </c>
      <c r="H54" s="12" t="s">
        <v>85</v>
      </c>
    </row>
    <row r="55" ht="18" customHeight="1" spans="1:8">
      <c r="A55" s="39" t="s">
        <v>49</v>
      </c>
      <c r="B55" s="18">
        <f>(B51-B50)*0.25</f>
        <v>-185400.909426605</v>
      </c>
      <c r="C55" s="39"/>
      <c r="D55" s="34" t="s">
        <v>50</v>
      </c>
      <c r="E55" s="22" t="s">
        <v>51</v>
      </c>
      <c r="F55" s="59">
        <f>F13-F50</f>
        <v>-111392.784311927</v>
      </c>
      <c r="G55" s="60">
        <v>-21690.7643119266</v>
      </c>
      <c r="H55" s="12"/>
    </row>
    <row r="56" ht="18" customHeight="1" spans="1:8">
      <c r="A56" s="39" t="s">
        <v>52</v>
      </c>
      <c r="B56" s="61"/>
      <c r="C56" s="39"/>
      <c r="D56" s="62" t="s">
        <v>53</v>
      </c>
      <c r="E56" s="14">
        <v>0.05</v>
      </c>
      <c r="F56" s="63">
        <f>F55*E56</f>
        <v>-5569.63921559635</v>
      </c>
      <c r="G56" s="60">
        <v>-1084.53821559633</v>
      </c>
      <c r="H56" s="12"/>
    </row>
    <row r="57" ht="18" customHeight="1" spans="1:8">
      <c r="A57" s="39" t="s">
        <v>54</v>
      </c>
      <c r="B57" s="61"/>
      <c r="C57" s="39"/>
      <c r="D57" s="62" t="s">
        <v>55</v>
      </c>
      <c r="E57" s="14">
        <v>0.03</v>
      </c>
      <c r="F57" s="63">
        <f>F55*E57</f>
        <v>-3341.78352935781</v>
      </c>
      <c r="G57" s="60">
        <v>-650.722929357798</v>
      </c>
      <c r="H57" s="12"/>
    </row>
    <row r="58" ht="18" customHeight="1" spans="1:8">
      <c r="A58" s="39"/>
      <c r="B58" s="29"/>
      <c r="C58" s="39"/>
      <c r="D58" s="62" t="s">
        <v>56</v>
      </c>
      <c r="E58" s="14">
        <v>0.02</v>
      </c>
      <c r="F58" s="63">
        <f>F55*E58</f>
        <v>-2227.85568623854</v>
      </c>
      <c r="G58" s="60">
        <v>-433.815286238532</v>
      </c>
      <c r="H58" s="12"/>
    </row>
    <row r="59" ht="18" customHeight="1" spans="1:8">
      <c r="A59" s="34" t="s">
        <v>57</v>
      </c>
      <c r="B59" s="35">
        <f>SUM(B55:B58)</f>
        <v>-185400.909426605</v>
      </c>
      <c r="C59" s="39"/>
      <c r="D59" s="40" t="s">
        <v>57</v>
      </c>
      <c r="E59" s="34"/>
      <c r="F59" s="59">
        <f>SUM(F55:F58)</f>
        <v>-122532.06274312</v>
      </c>
      <c r="G59" s="60">
        <v>0</v>
      </c>
      <c r="H59" s="12"/>
    </row>
    <row r="60" ht="18" customHeight="1" spans="3:8">
      <c r="C60" s="2"/>
      <c r="D60" s="12" t="s">
        <v>52</v>
      </c>
      <c r="E60" s="64">
        <v>0.0003</v>
      </c>
      <c r="F60" s="63">
        <f>G13*E60</f>
        <v>1350</v>
      </c>
      <c r="G60" s="60"/>
      <c r="H60" s="12"/>
    </row>
    <row r="61" ht="18" customHeight="1" spans="3:8">
      <c r="C61" s="2"/>
      <c r="D61" s="12" t="s">
        <v>54</v>
      </c>
      <c r="E61" s="64">
        <v>0.0006</v>
      </c>
      <c r="F61" s="63">
        <f>B13*E61</f>
        <v>2477.06422018349</v>
      </c>
      <c r="G61" s="60">
        <v>2477.06422018349</v>
      </c>
      <c r="H61" s="12"/>
    </row>
    <row r="62" ht="18" customHeight="1" spans="3:8">
      <c r="C62" s="2"/>
      <c r="D62" s="20" t="s">
        <v>57</v>
      </c>
      <c r="E62" s="50"/>
      <c r="F62" s="65">
        <f>F61+F60</f>
        <v>3827.06422018349</v>
      </c>
      <c r="G62" s="60"/>
      <c r="H62" s="12"/>
    </row>
    <row r="63" ht="18" customHeight="1" spans="3:8">
      <c r="C63" s="2"/>
      <c r="D63" s="20" t="s">
        <v>21</v>
      </c>
      <c r="E63" s="36"/>
      <c r="F63" s="65">
        <f>F59+F62</f>
        <v>-118704.998522936</v>
      </c>
      <c r="G63" s="60"/>
      <c r="H63" s="12"/>
    </row>
    <row r="64" ht="18" customHeight="1" spans="3:8">
      <c r="C64" s="2"/>
      <c r="D64" s="36" t="s">
        <v>49</v>
      </c>
      <c r="E64" s="50"/>
      <c r="F64" s="65">
        <v>0.01</v>
      </c>
      <c r="G64" s="60">
        <v>45000</v>
      </c>
      <c r="H64" s="12"/>
    </row>
    <row r="65" ht="18" customHeight="1" spans="3:8">
      <c r="C65" s="2"/>
      <c r="D65" s="12" t="s">
        <v>21</v>
      </c>
      <c r="E65" s="12"/>
      <c r="G65" s="60"/>
      <c r="H65" s="12"/>
    </row>
    <row r="66" ht="18" customHeight="1" spans="3:8">
      <c r="C66" s="2"/>
      <c r="D66" s="4" t="s">
        <v>61</v>
      </c>
      <c r="G66" s="88">
        <v>393361.085573394</v>
      </c>
      <c r="H66" s="12">
        <f>-(G66-0*0.25)</f>
        <v>-393361.085573394</v>
      </c>
    </row>
    <row r="67" ht="18" customHeight="1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1次 </vt:lpstr>
      <vt:lpstr>2次</vt:lpstr>
      <vt:lpstr>3次</vt:lpstr>
      <vt:lpstr>4次</vt:lpstr>
      <vt:lpstr>4.1</vt:lpstr>
      <vt:lpstr>4.1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2021-05-11T02:48:48Z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5DDAF2D002894BE9B017A2B01BAC5073</vt:lpwstr>
  </property>
</Properties>
</file>