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东至县张溪镇" sheetId="4" r:id="rId1"/>
    <sheet name="葛公镇仙寓山" sheetId="3" r:id="rId2"/>
    <sheet name="东至县胜利镇" sheetId="2" r:id="rId3"/>
    <sheet name="人才公寓" sheetId="1" r:id="rId4"/>
  </sheets>
  <definedNames>
    <definedName name="_xlnm._FilterDatabase" localSheetId="0" hidden="1">东至县张溪镇!$A$15:$O$46</definedName>
    <definedName name="_xlnm._FilterDatabase" localSheetId="1" hidden="1">葛公镇仙寓山!$A$15:$O$57</definedName>
    <definedName name="_xlnm._FilterDatabase" localSheetId="2" hidden="1">东至县胜利镇!$A$15:$O$59</definedName>
    <definedName name="_xlnm._FilterDatabase" localSheetId="3" hidden="1">人才公寓!$A$18:$O$74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3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38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3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qyr</author>
    <author>cw05</author>
  </authors>
  <commentList>
    <comment ref="I28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2021.3.9徐定芳转宛建军8245，含本次企税</t>
        </r>
      </text>
    </comment>
    <comment ref="A49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4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5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qyr</author>
    <author>cw05</author>
  </authors>
  <commentList>
    <comment ref="I3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2021.3.9徐定芳转宛建军卡8245，保函本息4720</t>
        </r>
      </text>
    </comment>
    <comment ref="A5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51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5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cw05</author>
    <author>qyr</author>
  </authors>
  <commentList>
    <comment ref="A6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64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6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<sst xmlns="http://schemas.openxmlformats.org/spreadsheetml/2006/main" count="526" uniqueCount="139">
  <si>
    <t>C5303 东至县张溪镇2016年老村道加宽工程第四标段（侯店村大陡路、汪坡村大汪路）</t>
  </si>
  <si>
    <t>中标日期</t>
  </si>
  <si>
    <t>2016.9.28</t>
  </si>
  <si>
    <t>徐定芳13856620303</t>
  </si>
  <si>
    <t>建设单位</t>
  </si>
  <si>
    <t>分公司项目，独立核算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</si>
  <si>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</si>
  <si>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</si>
  <si>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</si>
  <si>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</si>
  <si>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</si>
  <si>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</si>
  <si>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</si>
  <si>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</si>
  <si>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</si>
  <si>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</si>
  <si>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</si>
  <si>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</si>
  <si>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</si>
  <si>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</si>
  <si>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专户</t>
  </si>
  <si>
    <t>2021-2-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</si>
  <si>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</si>
  <si>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</si>
  <si>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</si>
  <si>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</si>
  <si>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</si>
  <si>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</si>
  <si>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</si>
  <si>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</si>
  <si>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</si>
  <si>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</si>
  <si>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</si>
  <si>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</si>
  <si>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</si>
  <si>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</si>
  <si>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2018-2-</t>
  </si>
  <si>
    <t>普</t>
  </si>
  <si>
    <t>东至县塔兴建筑工程有限公司</t>
  </si>
  <si>
    <t>中粗砂</t>
  </si>
  <si>
    <t>碎石</t>
  </si>
  <si>
    <t>水泥</t>
  </si>
  <si>
    <t>中粗砂、碎石、水泥</t>
  </si>
  <si>
    <t>扣</t>
  </si>
  <si>
    <t>增值税及附加</t>
  </si>
  <si>
    <t>1次</t>
  </si>
  <si>
    <t>收</t>
  </si>
  <si>
    <t>外经证等</t>
  </si>
  <si>
    <t>暂扣</t>
  </si>
  <si>
    <t>损失准备金</t>
  </si>
  <si>
    <t>2017.1.10办理外经证费用500+2017.7.26对帐单快递费20</t>
  </si>
  <si>
    <t>应提供成本</t>
  </si>
  <si>
    <t>可支付金额</t>
  </si>
  <si>
    <t>尚需提供成本</t>
  </si>
  <si>
    <t>公司代缴税金：</t>
  </si>
  <si>
    <t>税种</t>
  </si>
  <si>
    <t>税额</t>
  </si>
  <si>
    <t>2021年2月开票税金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</si>
  <si>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</si>
  <si>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</si>
  <si>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</si>
  <si>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</si>
  <si>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</si>
  <si>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</si>
  <si>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</si>
  <si>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</si>
  <si>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</si>
  <si>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 xml:space="preserve">C10856 东至县葛公镇仙寓山村党群服务中心建设项目
</t>
  </si>
  <si>
    <t>2018.12.29</t>
  </si>
  <si>
    <t>负责人</t>
  </si>
  <si>
    <t>2019-5-</t>
  </si>
  <si>
    <t>2020-1-</t>
  </si>
  <si>
    <t>安徽尧兴建设工程有限公司</t>
  </si>
  <si>
    <t>水泥、木工板</t>
  </si>
  <si>
    <t>东至县顺美劳务有限公司</t>
  </si>
  <si>
    <t>砂石</t>
  </si>
  <si>
    <t>标砖</t>
  </si>
  <si>
    <t>徐定芳</t>
  </si>
  <si>
    <t>招标代理费</t>
  </si>
  <si>
    <t>2021-3-</t>
  </si>
  <si>
    <t>材料</t>
  </si>
  <si>
    <t>劳务</t>
  </si>
  <si>
    <t>东至县雨晟工程设备租赁有限公司</t>
  </si>
  <si>
    <t>机械</t>
  </si>
  <si>
    <t>0.6%企税（吴总算）</t>
  </si>
  <si>
    <t>3次</t>
  </si>
  <si>
    <t>补扣</t>
  </si>
  <si>
    <t>全部管理费（宛建军卡）</t>
  </si>
  <si>
    <t>全部管理费</t>
  </si>
  <si>
    <t>管理费3%（宛建军卡）</t>
  </si>
  <si>
    <t>交税</t>
  </si>
  <si>
    <t>管理费3% 王光如</t>
  </si>
  <si>
    <t>2次</t>
  </si>
  <si>
    <t>管理费</t>
  </si>
  <si>
    <t>税金</t>
  </si>
  <si>
    <t>退</t>
  </si>
  <si>
    <t>预留款</t>
  </si>
  <si>
    <t>管理费3%</t>
  </si>
  <si>
    <t>预留</t>
  </si>
  <si>
    <t xml:space="preserve">C7227 东至县胜利镇2017年村级道路畅通工程(堤岭路1、堤岭路1项目)
</t>
  </si>
  <si>
    <t>2017.5.18</t>
  </si>
  <si>
    <t>中标价</t>
  </si>
  <si>
    <t>2018-7-</t>
  </si>
  <si>
    <t>2019-1-</t>
  </si>
  <si>
    <t>1份</t>
  </si>
  <si>
    <t>东至县凯燕建筑劳务有限公司</t>
  </si>
  <si>
    <t>黄沙</t>
  </si>
  <si>
    <t>2份</t>
  </si>
  <si>
    <t>专</t>
  </si>
  <si>
    <t>东至县路达运输贸易有限公司</t>
  </si>
  <si>
    <t>石子</t>
  </si>
  <si>
    <t>水泥、黄沙</t>
  </si>
  <si>
    <t>专户待缴税金</t>
  </si>
  <si>
    <t>剩余管理费</t>
  </si>
  <si>
    <t xml:space="preserve">C12670 东至县人才公寓建设项目（一期）
</t>
  </si>
  <si>
    <t>2020.7.13</t>
  </si>
  <si>
    <t>2020-9-</t>
  </si>
  <si>
    <t>机械费</t>
  </si>
  <si>
    <t>电线</t>
  </si>
  <si>
    <t>建筑模板</t>
  </si>
  <si>
    <t>防盗门</t>
  </si>
  <si>
    <t>管材</t>
  </si>
  <si>
    <t>金属门窗</t>
  </si>
  <si>
    <t>灯具</t>
  </si>
  <si>
    <t>东至博茗建材销售有限公司</t>
  </si>
  <si>
    <t>电线/模板/管材/门窗等</t>
  </si>
  <si>
    <t>螺纹钢</t>
  </si>
  <si>
    <t>排水管</t>
  </si>
  <si>
    <t>4份</t>
  </si>
  <si>
    <t>吸顶灯等</t>
  </si>
  <si>
    <t>3份</t>
  </si>
  <si>
    <t>徐定芳转王光如徽行卡</t>
  </si>
  <si>
    <t>剩余全部1%企税</t>
  </si>
  <si>
    <t>剩余全部管理费</t>
  </si>
  <si>
    <t>税金（直接划拨）</t>
  </si>
  <si>
    <t>企税（2020.10.26付红霞转王光如徽行）</t>
  </si>
  <si>
    <t>管理费（2020.10.21付红霞转王光如徽行）</t>
  </si>
  <si>
    <t>到账工程款1%企税</t>
  </si>
  <si>
    <t>到账工程款2%管理费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</si>
</sst>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yy/m/d;@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81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3" fillId="3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7" fillId="3" borderId="2" xfId="0" applyNumberFormat="1" applyFont="1" applyFill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176" fontId="7" fillId="4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22225</xdr:colOff>
      <xdr:row>34</xdr:row>
      <xdr:rowOff>209550</xdr:rowOff>
    </xdr:from>
    <xdr:to>
      <xdr:col>10</xdr:col>
      <xdr:colOff>2410460</xdr:colOff>
      <xdr:row>40</xdr:row>
      <xdr:rowOff>0</xdr:rowOff>
    </xdr:to>
    <xdr:pic>
      <xdr:nvPicPr>
        <xdr:cNvPr id="2" name="图片 1" descr="_%GK6%Q}SVTG_XRU$HPWQRJ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6445" y="8031480"/>
          <a:ext cx="4648200" cy="1162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31750</xdr:colOff>
      <xdr:row>46</xdr:row>
      <xdr:rowOff>0</xdr:rowOff>
    </xdr:from>
    <xdr:to>
      <xdr:col>7</xdr:col>
      <xdr:colOff>397510</xdr:colOff>
      <xdr:row>54</xdr:row>
      <xdr:rowOff>20955</xdr:rowOff>
    </xdr:to>
    <xdr:pic>
      <xdr:nvPicPr>
        <xdr:cNvPr id="2" name="图片 1" descr="K8N8EQEC_HD_HAQYXZ6H_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0005" y="10565130"/>
          <a:ext cx="1440815" cy="1849755"/>
        </a:xfrm>
        <a:prstGeom prst="rect">
          <a:avLst/>
        </a:prstGeom>
      </xdr:spPr>
    </xdr:pic>
    <xdr:clientData/>
  </xdr:twoCellAnchor>
  <xdr:twoCellAnchor editAs="oneCell">
    <xdr:from>
      <xdr:col>7</xdr:col>
      <xdr:colOff>467360</xdr:colOff>
      <xdr:row>46</xdr:row>
      <xdr:rowOff>17145</xdr:rowOff>
    </xdr:from>
    <xdr:to>
      <xdr:col>8</xdr:col>
      <xdr:colOff>551180</xdr:colOff>
      <xdr:row>53</xdr:row>
      <xdr:rowOff>189865</xdr:rowOff>
    </xdr:to>
    <xdr:pic>
      <xdr:nvPicPr>
        <xdr:cNvPr id="3" name="图片 2" descr="I7}9`BCXT]2RKB18KM0%]L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0670" y="10582275"/>
          <a:ext cx="820420" cy="1772920"/>
        </a:xfrm>
        <a:prstGeom prst="rect">
          <a:avLst/>
        </a:prstGeom>
      </xdr:spPr>
    </xdr:pic>
    <xdr:clientData/>
  </xdr:twoCellAnchor>
  <xdr:twoCellAnchor editAs="oneCell">
    <xdr:from>
      <xdr:col>8</xdr:col>
      <xdr:colOff>562610</xdr:colOff>
      <xdr:row>46</xdr:row>
      <xdr:rowOff>17780</xdr:rowOff>
    </xdr:from>
    <xdr:to>
      <xdr:col>10</xdr:col>
      <xdr:colOff>607060</xdr:colOff>
      <xdr:row>53</xdr:row>
      <xdr:rowOff>151765</xdr:rowOff>
    </xdr:to>
    <xdr:pic>
      <xdr:nvPicPr>
        <xdr:cNvPr id="4" name="图片 3" descr="U50V6E10J[V5WG_2X$5J93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62520" y="10582910"/>
          <a:ext cx="1567815" cy="1734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16510</xdr:colOff>
      <xdr:row>48</xdr:row>
      <xdr:rowOff>27305</xdr:rowOff>
    </xdr:from>
    <xdr:to>
      <xdr:col>7</xdr:col>
      <xdr:colOff>383540</xdr:colOff>
      <xdr:row>55</xdr:row>
      <xdr:rowOff>19050</xdr:rowOff>
    </xdr:to>
    <xdr:pic>
      <xdr:nvPicPr>
        <xdr:cNvPr id="2" name="图片 1" descr="U50V6E10J[V5WG_2X$5J93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02530" y="11049635"/>
          <a:ext cx="1442085" cy="1591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93980</xdr:colOff>
      <xdr:row>64</xdr:row>
      <xdr:rowOff>179070</xdr:rowOff>
    </xdr:from>
    <xdr:to>
      <xdr:col>7</xdr:col>
      <xdr:colOff>427990</xdr:colOff>
      <xdr:row>71</xdr:row>
      <xdr:rowOff>208915</xdr:rowOff>
    </xdr:to>
    <xdr:pic>
      <xdr:nvPicPr>
        <xdr:cNvPr id="2" name="图片 1" descr="Q_U]NI`I4OFFNCZSPR~3{P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4600" y="14859000"/>
          <a:ext cx="1409065" cy="1630045"/>
        </a:xfrm>
        <a:prstGeom prst="rect">
          <a:avLst/>
        </a:prstGeom>
      </xdr:spPr>
    </xdr:pic>
    <xdr:clientData/>
  </xdr:twoCellAnchor>
  <xdr:twoCellAnchor editAs="oneCell">
    <xdr:from>
      <xdr:col>7</xdr:col>
      <xdr:colOff>466090</xdr:colOff>
      <xdr:row>64</xdr:row>
      <xdr:rowOff>206375</xdr:rowOff>
    </xdr:from>
    <xdr:to>
      <xdr:col>9</xdr:col>
      <xdr:colOff>37465</xdr:colOff>
      <xdr:row>71</xdr:row>
      <xdr:rowOff>209550</xdr:rowOff>
    </xdr:to>
    <xdr:pic>
      <xdr:nvPicPr>
        <xdr:cNvPr id="3" name="图片 2" descr="T`[EHR8HPDQ7XFS2~BTEGR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1765" y="14886305"/>
          <a:ext cx="1365885" cy="1603375"/>
        </a:xfrm>
        <a:prstGeom prst="rect">
          <a:avLst/>
        </a:prstGeom>
      </xdr:spPr>
    </xdr:pic>
    <xdr:clientData/>
  </xdr:twoCellAnchor>
  <xdr:twoCellAnchor editAs="oneCell">
    <xdr:from>
      <xdr:col>9</xdr:col>
      <xdr:colOff>88265</xdr:colOff>
      <xdr:row>64</xdr:row>
      <xdr:rowOff>229235</xdr:rowOff>
    </xdr:from>
    <xdr:to>
      <xdr:col>10</xdr:col>
      <xdr:colOff>885825</xdr:colOff>
      <xdr:row>71</xdr:row>
      <xdr:rowOff>95250</xdr:rowOff>
    </xdr:to>
    <xdr:pic>
      <xdr:nvPicPr>
        <xdr:cNvPr id="4" name="图片 3" descr="6R${ZK{1MVGR@3VSQE%8@S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18450" y="14908530"/>
          <a:ext cx="1263015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workbookViewId="0">
      <selection activeCell="K22" sqref="K22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5.1083333333333" style="6" customWidth="1"/>
    <col min="12" max="12" width="12.775" style="7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8" t="s">
        <v>0</v>
      </c>
      <c r="B1" s="9"/>
      <c r="C1" s="9"/>
      <c r="D1" s="9"/>
      <c r="E1" s="9"/>
      <c r="F1" s="10"/>
      <c r="G1" s="10"/>
      <c r="H1" s="9"/>
      <c r="I1" s="10"/>
      <c r="J1" s="9"/>
      <c r="K1" s="21"/>
      <c r="L1" s="51"/>
    </row>
    <row r="2" ht="18" customHeight="1" spans="1:12">
      <c r="A2" s="11" t="s">
        <v>1</v>
      </c>
      <c r="B2" s="12" t="s">
        <v>2</v>
      </c>
      <c r="C2" s="13"/>
      <c r="D2" s="14">
        <v>735067</v>
      </c>
      <c r="E2" s="15"/>
      <c r="F2" s="16" t="s">
        <v>3</v>
      </c>
      <c r="G2" s="17" t="s">
        <v>4</v>
      </c>
      <c r="H2" s="18"/>
      <c r="I2" s="52"/>
      <c r="J2" s="53"/>
      <c r="K2" s="54" t="s">
        <v>5</v>
      </c>
      <c r="L2" s="51"/>
    </row>
    <row r="3" ht="18" customHeight="1" spans="1:12">
      <c r="A3" s="11" t="s">
        <v>6</v>
      </c>
      <c r="B3" s="19"/>
      <c r="C3" s="13" t="s">
        <v>7</v>
      </c>
      <c r="D3" s="20"/>
      <c r="H3" s="21"/>
      <c r="I3" s="55"/>
      <c r="J3" s="21"/>
      <c r="K3" s="21"/>
      <c r="L3" s="51"/>
    </row>
    <row r="4" ht="18" customHeight="1" spans="1:12">
      <c r="A4" s="2" t="s">
        <v>8</v>
      </c>
      <c r="H4" s="21"/>
      <c r="I4" s="55"/>
      <c r="J4" s="21"/>
      <c r="K4" s="21"/>
      <c r="L4" s="51"/>
    </row>
    <row r="5" ht="18" customHeight="1" spans="1:10">
      <c r="A5" s="22" t="s">
        <v>9</v>
      </c>
      <c r="B5" s="23" t="s">
        <v>10</v>
      </c>
      <c r="C5" s="22" t="s">
        <v>11</v>
      </c>
      <c r="D5" s="22"/>
      <c r="E5" s="22" t="s">
        <v>12</v>
      </c>
      <c r="F5" s="23"/>
      <c r="G5" s="23" t="s">
        <v>13</v>
      </c>
      <c r="H5" s="24" t="s">
        <v>14</v>
      </c>
      <c r="I5" s="23"/>
      <c r="J5" s="24"/>
    </row>
    <row r="6" ht="18" customHeight="1" spans="1:10">
      <c r="A6" s="22"/>
      <c r="B6" s="23"/>
      <c r="C6" s="22" t="s">
        <v>15</v>
      </c>
      <c r="D6" s="22" t="s">
        <v>16</v>
      </c>
      <c r="E6" s="22" t="s">
        <v>15</v>
      </c>
      <c r="F6" s="23" t="s">
        <v>16</v>
      </c>
      <c r="G6" s="23"/>
      <c r="H6" s="24" t="s">
        <v>17</v>
      </c>
      <c r="I6" s="23" t="s">
        <v>18</v>
      </c>
      <c r="J6" s="24" t="s">
        <v>19</v>
      </c>
    </row>
    <row r="7" ht="18" customHeight="1" spans="1:10">
      <c r="A7" s="25">
        <v>43132</v>
      </c>
      <c r="B7" s="13">
        <f t="shared" ref="B7:B9" si="0">G7/(1+C7+E7)</f>
        <v>385321.100917431</v>
      </c>
      <c r="C7" s="26">
        <v>0.02</v>
      </c>
      <c r="D7" s="27">
        <f t="shared" ref="D7:D9" si="1">G7/(1+E7+C7)*C7</f>
        <v>7706.42201834862</v>
      </c>
      <c r="E7" s="26">
        <v>0.07</v>
      </c>
      <c r="F7" s="13">
        <f t="shared" ref="F7:F9" si="2">G7/(1+C7+E7)*E7</f>
        <v>26972.4770642202</v>
      </c>
      <c r="G7" s="28">
        <v>420000</v>
      </c>
      <c r="H7" s="25">
        <v>43140</v>
      </c>
      <c r="I7" s="13">
        <v>420000</v>
      </c>
      <c r="J7" s="56" t="s">
        <v>20</v>
      </c>
    </row>
    <row r="8" ht="18" customHeight="1" spans="1:10">
      <c r="A8" s="25" t="s">
        <v>21</v>
      </c>
      <c r="B8" s="13">
        <f t="shared" si="0"/>
        <v>82568.8073394495</v>
      </c>
      <c r="C8" s="29">
        <v>0.02</v>
      </c>
      <c r="D8" s="27">
        <f t="shared" si="1"/>
        <v>1651.37614678899</v>
      </c>
      <c r="E8" s="26">
        <v>0.07</v>
      </c>
      <c r="F8" s="13">
        <f t="shared" si="2"/>
        <v>5779.81651376147</v>
      </c>
      <c r="G8" s="28">
        <v>90000</v>
      </c>
      <c r="H8" s="25">
        <v>44231</v>
      </c>
      <c r="I8" s="13">
        <v>90000</v>
      </c>
      <c r="J8" s="56" t="s">
        <v>20</v>
      </c>
    </row>
    <row r="9" ht="18" customHeight="1" spans="1:10">
      <c r="A9" s="25"/>
      <c r="B9" s="13">
        <f t="shared" si="0"/>
        <v>0</v>
      </c>
      <c r="C9" s="29"/>
      <c r="D9" s="27">
        <f t="shared" si="1"/>
        <v>0</v>
      </c>
      <c r="E9" s="26"/>
      <c r="F9" s="13">
        <f t="shared" si="2"/>
        <v>0</v>
      </c>
      <c r="G9" s="28"/>
      <c r="H9" s="25"/>
      <c r="I9" s="13"/>
      <c r="J9" s="56"/>
    </row>
    <row r="10" ht="18" customHeight="1" spans="1:10">
      <c r="A10" s="25"/>
      <c r="B10" s="13"/>
      <c r="C10" s="29"/>
      <c r="D10" s="27"/>
      <c r="E10" s="26"/>
      <c r="F10" s="13"/>
      <c r="G10" s="28"/>
      <c r="H10" s="25"/>
      <c r="I10" s="13"/>
      <c r="J10" s="56"/>
    </row>
    <row r="11" ht="18" customHeight="1" spans="1:10">
      <c r="A11" s="25"/>
      <c r="B11" s="13"/>
      <c r="C11" s="29"/>
      <c r="D11" s="27"/>
      <c r="E11" s="26"/>
      <c r="F11" s="13"/>
      <c r="G11" s="28"/>
      <c r="H11" s="25"/>
      <c r="I11" s="13"/>
      <c r="J11" s="56"/>
    </row>
    <row r="12" ht="18" customHeight="1" spans="1:10">
      <c r="A12" s="25"/>
      <c r="B12" s="13"/>
      <c r="C12" s="29"/>
      <c r="D12" s="27"/>
      <c r="E12" s="26"/>
      <c r="F12" s="13"/>
      <c r="G12" s="28"/>
      <c r="H12" s="25"/>
      <c r="I12" s="13"/>
      <c r="J12" s="56"/>
    </row>
    <row r="13" ht="18" customHeight="1" spans="1:10">
      <c r="A13" s="30" t="s">
        <v>22</v>
      </c>
      <c r="B13" s="31">
        <f t="shared" ref="B13:G13" si="3">SUM(B7:B12)</f>
        <v>467889.908256881</v>
      </c>
      <c r="C13" s="32"/>
      <c r="D13" s="32">
        <f t="shared" si="3"/>
        <v>9357.79816513761</v>
      </c>
      <c r="E13" s="32"/>
      <c r="F13" s="33">
        <f t="shared" si="3"/>
        <v>32752.2935779817</v>
      </c>
      <c r="G13" s="32">
        <f t="shared" si="3"/>
        <v>510000</v>
      </c>
      <c r="H13" s="34"/>
      <c r="I13" s="32">
        <f>SUM(I7:I12)</f>
        <v>510000</v>
      </c>
      <c r="J13" s="34"/>
    </row>
    <row r="14" ht="18" customHeight="1" spans="1:12">
      <c r="A14" s="2" t="s">
        <v>23</v>
      </c>
      <c r="J14" s="4"/>
      <c r="K14" s="4"/>
      <c r="L14" s="57"/>
    </row>
    <row r="15" ht="18" customHeight="1" spans="1:21">
      <c r="A15" s="35" t="s">
        <v>24</v>
      </c>
      <c r="B15" s="23" t="s">
        <v>25</v>
      </c>
      <c r="C15" s="22" t="s">
        <v>26</v>
      </c>
      <c r="D15" s="22" t="s">
        <v>27</v>
      </c>
      <c r="E15" s="22" t="s">
        <v>15</v>
      </c>
      <c r="F15" s="23" t="s">
        <v>28</v>
      </c>
      <c r="G15" s="23" t="s">
        <v>13</v>
      </c>
      <c r="H15" s="22" t="s">
        <v>29</v>
      </c>
      <c r="I15" s="23" t="s">
        <v>30</v>
      </c>
      <c r="J15" s="22" t="s">
        <v>19</v>
      </c>
      <c r="K15" s="58" t="s">
        <v>31</v>
      </c>
      <c r="L15" s="59" t="s">
        <v>32</v>
      </c>
      <c r="M15" s="24" t="s">
        <v>33</v>
      </c>
      <c r="N15" s="24" t="s">
        <v>34</v>
      </c>
      <c r="O15" s="24" t="s">
        <v>35</v>
      </c>
      <c r="P15" s="60"/>
      <c r="Q15" s="60"/>
      <c r="R15" s="60"/>
      <c r="S15" s="60"/>
      <c r="T15" s="60"/>
      <c r="U15" s="60"/>
    </row>
    <row r="16" s="1" customFormat="1" ht="18" customHeight="1" spans="1:15">
      <c r="A16" s="36"/>
      <c r="B16" s="37">
        <f t="shared" ref="B16:B28" si="4">ROUND(G16/(1+E16),2)</f>
        <v>0</v>
      </c>
      <c r="C16" s="38"/>
      <c r="D16" s="39"/>
      <c r="E16" s="40"/>
      <c r="F16" s="37">
        <f t="shared" ref="F16:F28" si="5">ROUND(G16/(1+E16)*E16,2)</f>
        <v>0</v>
      </c>
      <c r="G16" s="72"/>
      <c r="H16" s="25" t="s">
        <v>36</v>
      </c>
      <c r="I16" s="37">
        <v>415800</v>
      </c>
      <c r="J16" s="56" t="s">
        <v>20</v>
      </c>
      <c r="K16" s="74"/>
      <c r="L16" s="62"/>
      <c r="M16" s="63"/>
      <c r="N16" s="63"/>
      <c r="O16" s="64"/>
    </row>
    <row r="17" s="1" customFormat="1" ht="18" customHeight="1" spans="1:15">
      <c r="A17" s="36">
        <v>44317</v>
      </c>
      <c r="B17" s="37">
        <f t="shared" si="4"/>
        <v>32680</v>
      </c>
      <c r="C17" s="38"/>
      <c r="D17" s="39" t="s">
        <v>37</v>
      </c>
      <c r="E17" s="40"/>
      <c r="F17" s="37">
        <f t="shared" si="5"/>
        <v>0</v>
      </c>
      <c r="G17" s="72">
        <v>32680</v>
      </c>
      <c r="H17" s="25"/>
      <c r="I17" s="37"/>
      <c r="J17" s="56"/>
      <c r="K17" s="74" t="s">
        <v>38</v>
      </c>
      <c r="L17" s="62" t="s">
        <v>39</v>
      </c>
      <c r="M17" s="63"/>
      <c r="N17" s="63"/>
      <c r="O17" s="64"/>
    </row>
    <row r="18" s="1" customFormat="1" ht="18" customHeight="1" spans="1:15">
      <c r="A18" s="36">
        <v>44317</v>
      </c>
      <c r="B18" s="37">
        <f t="shared" si="4"/>
        <v>22680</v>
      </c>
      <c r="C18" s="38"/>
      <c r="D18" s="39" t="s">
        <v>37</v>
      </c>
      <c r="E18" s="40"/>
      <c r="F18" s="37">
        <f t="shared" si="5"/>
        <v>0</v>
      </c>
      <c r="G18" s="72">
        <v>22680</v>
      </c>
      <c r="H18" s="25"/>
      <c r="I18" s="37"/>
      <c r="J18" s="56"/>
      <c r="K18" s="74" t="s">
        <v>38</v>
      </c>
      <c r="L18" s="62" t="s">
        <v>40</v>
      </c>
      <c r="M18" s="63"/>
      <c r="N18" s="63"/>
      <c r="O18" s="64"/>
    </row>
    <row r="19" s="1" customFormat="1" ht="18" customHeight="1" spans="1:15">
      <c r="A19" s="36">
        <v>44317</v>
      </c>
      <c r="B19" s="37">
        <f t="shared" si="4"/>
        <v>25560</v>
      </c>
      <c r="C19" s="38"/>
      <c r="D19" s="39" t="s">
        <v>37</v>
      </c>
      <c r="E19" s="40"/>
      <c r="F19" s="37">
        <f t="shared" si="5"/>
        <v>0</v>
      </c>
      <c r="G19" s="72">
        <v>25560</v>
      </c>
      <c r="H19" s="25"/>
      <c r="I19" s="37"/>
      <c r="J19" s="56"/>
      <c r="K19" s="74" t="s">
        <v>38</v>
      </c>
      <c r="L19" s="62" t="s">
        <v>41</v>
      </c>
      <c r="M19" s="63"/>
      <c r="N19" s="63"/>
      <c r="O19" s="64"/>
    </row>
    <row r="20" s="1" customFormat="1" ht="18" customHeight="1" spans="1:15">
      <c r="A20" s="36"/>
      <c r="B20" s="37">
        <f t="shared" si="4"/>
        <v>0</v>
      </c>
      <c r="C20" s="38"/>
      <c r="D20" s="39"/>
      <c r="E20" s="40"/>
      <c r="F20" s="37">
        <f t="shared" si="5"/>
        <v>0</v>
      </c>
      <c r="G20" s="72"/>
      <c r="H20" s="25">
        <v>44336</v>
      </c>
      <c r="I20" s="13">
        <v>80920</v>
      </c>
      <c r="J20" s="56" t="s">
        <v>20</v>
      </c>
      <c r="K20" s="74" t="s">
        <v>38</v>
      </c>
      <c r="L20" s="62" t="s">
        <v>42</v>
      </c>
      <c r="M20" s="63"/>
      <c r="N20" s="63"/>
      <c r="O20" s="64"/>
    </row>
    <row r="21" s="1" customFormat="1" ht="18" customHeight="1" spans="1:15">
      <c r="A21" s="36"/>
      <c r="B21" s="37">
        <f t="shared" si="4"/>
        <v>0</v>
      </c>
      <c r="C21" s="38"/>
      <c r="D21" s="39"/>
      <c r="E21" s="41"/>
      <c r="F21" s="37">
        <f t="shared" si="5"/>
        <v>0</v>
      </c>
      <c r="G21" s="28"/>
      <c r="H21" s="25"/>
      <c r="I21" s="78"/>
      <c r="J21" s="79"/>
      <c r="K21" s="80"/>
      <c r="L21" s="62"/>
      <c r="M21" s="63"/>
      <c r="N21" s="63"/>
      <c r="O21" s="64"/>
    </row>
    <row r="22" s="1" customFormat="1" ht="18" customHeight="1" spans="1:15">
      <c r="A22" s="36"/>
      <c r="B22" s="37">
        <f t="shared" si="4"/>
        <v>0</v>
      </c>
      <c r="C22" s="38"/>
      <c r="D22" s="39"/>
      <c r="E22" s="41"/>
      <c r="F22" s="37">
        <f t="shared" si="5"/>
        <v>0</v>
      </c>
      <c r="G22" s="28"/>
      <c r="H22" s="25"/>
      <c r="I22" s="78"/>
      <c r="J22" s="79"/>
      <c r="K22" s="80"/>
      <c r="L22" s="62"/>
      <c r="M22" s="63"/>
      <c r="N22" s="63"/>
      <c r="O22" s="64"/>
    </row>
    <row r="23" s="1" customFormat="1" ht="18" customHeight="1" spans="1:15">
      <c r="A23" s="36"/>
      <c r="B23" s="37">
        <f t="shared" si="4"/>
        <v>0</v>
      </c>
      <c r="C23" s="38"/>
      <c r="D23" s="39"/>
      <c r="E23" s="41"/>
      <c r="F23" s="37">
        <f t="shared" si="5"/>
        <v>0</v>
      </c>
      <c r="G23" s="28"/>
      <c r="H23" s="25"/>
      <c r="I23" s="78"/>
      <c r="J23" s="79"/>
      <c r="K23" s="80"/>
      <c r="L23" s="62"/>
      <c r="M23" s="63"/>
      <c r="N23" s="63"/>
      <c r="O23" s="64"/>
    </row>
    <row r="24" s="1" customFormat="1" ht="18" customHeight="1" spans="1:15">
      <c r="A24" s="36"/>
      <c r="B24" s="37">
        <f t="shared" si="4"/>
        <v>0</v>
      </c>
      <c r="C24" s="38"/>
      <c r="D24" s="39"/>
      <c r="E24" s="41"/>
      <c r="F24" s="37">
        <f t="shared" si="5"/>
        <v>0</v>
      </c>
      <c r="G24" s="28"/>
      <c r="H24" s="25"/>
      <c r="I24" s="78"/>
      <c r="J24" s="79"/>
      <c r="K24" s="80"/>
      <c r="L24" s="62"/>
      <c r="M24" s="63"/>
      <c r="N24" s="63"/>
      <c r="O24" s="64"/>
    </row>
    <row r="25" s="1" customFormat="1" ht="18" customHeight="1" spans="1:15">
      <c r="A25" s="36"/>
      <c r="B25" s="37">
        <f t="shared" si="4"/>
        <v>0</v>
      </c>
      <c r="C25" s="38"/>
      <c r="D25" s="39"/>
      <c r="E25" s="41"/>
      <c r="F25" s="37">
        <f t="shared" si="5"/>
        <v>0</v>
      </c>
      <c r="G25" s="28"/>
      <c r="H25" s="25"/>
      <c r="I25" s="37"/>
      <c r="J25" s="56"/>
      <c r="K25" s="61"/>
      <c r="L25" s="62"/>
      <c r="M25" s="63"/>
      <c r="N25" s="63"/>
      <c r="O25" s="64"/>
    </row>
    <row r="26" s="1" customFormat="1" ht="18" customHeight="1" spans="1:15">
      <c r="A26" s="36"/>
      <c r="B26" s="37">
        <f t="shared" si="4"/>
        <v>0</v>
      </c>
      <c r="C26" s="38"/>
      <c r="D26" s="39"/>
      <c r="E26" s="41"/>
      <c r="F26" s="37">
        <f t="shared" si="5"/>
        <v>0</v>
      </c>
      <c r="G26" s="28"/>
      <c r="H26" s="25"/>
      <c r="I26" s="13"/>
      <c r="J26" s="56"/>
      <c r="K26" s="61"/>
      <c r="L26" s="62"/>
      <c r="M26" s="63"/>
      <c r="N26" s="63"/>
      <c r="O26" s="64"/>
    </row>
    <row r="27" s="1" customFormat="1" ht="18" customHeight="1" spans="1:15">
      <c r="A27" s="36"/>
      <c r="B27" s="37">
        <f t="shared" si="4"/>
        <v>0</v>
      </c>
      <c r="C27" s="38"/>
      <c r="D27" s="39"/>
      <c r="E27" s="41"/>
      <c r="F27" s="37">
        <f t="shared" si="5"/>
        <v>0</v>
      </c>
      <c r="G27" s="28"/>
      <c r="H27" s="25"/>
      <c r="I27" s="13"/>
      <c r="J27" s="56"/>
      <c r="K27" s="61"/>
      <c r="L27" s="62"/>
      <c r="M27" s="63"/>
      <c r="N27" s="63"/>
      <c r="O27" s="64"/>
    </row>
    <row r="28" s="1" customFormat="1" ht="18" customHeight="1" spans="1:15">
      <c r="A28" s="36"/>
      <c r="B28" s="37">
        <f t="shared" si="4"/>
        <v>0</v>
      </c>
      <c r="C28" s="38"/>
      <c r="D28" s="39"/>
      <c r="E28" s="41"/>
      <c r="F28" s="37">
        <f t="shared" si="5"/>
        <v>0</v>
      </c>
      <c r="G28" s="28"/>
      <c r="H28" s="25">
        <v>44335</v>
      </c>
      <c r="I28" s="13">
        <v>9080</v>
      </c>
      <c r="J28" s="56" t="s">
        <v>43</v>
      </c>
      <c r="K28" s="61" t="s">
        <v>44</v>
      </c>
      <c r="L28" s="62"/>
      <c r="M28" s="63"/>
      <c r="N28" s="63"/>
      <c r="O28" s="64"/>
    </row>
    <row r="29" s="1" customFormat="1" ht="18" customHeight="1" spans="1:15">
      <c r="A29" s="36"/>
      <c r="B29" s="37"/>
      <c r="C29" s="38"/>
      <c r="D29" s="39"/>
      <c r="E29" s="41"/>
      <c r="F29" s="37"/>
      <c r="G29" s="28"/>
      <c r="H29" s="25" t="s">
        <v>45</v>
      </c>
      <c r="I29" s="13">
        <v>-520</v>
      </c>
      <c r="J29" s="56" t="s">
        <v>46</v>
      </c>
      <c r="K29" s="61" t="s">
        <v>47</v>
      </c>
      <c r="L29" s="62"/>
      <c r="M29" s="63"/>
      <c r="N29" s="63"/>
      <c r="O29" s="64"/>
    </row>
    <row r="30" s="1" customFormat="1" ht="18" customHeight="1" spans="1:15">
      <c r="A30" s="36"/>
      <c r="B30" s="37"/>
      <c r="C30" s="38"/>
      <c r="D30" s="39"/>
      <c r="E30" s="41"/>
      <c r="F30" s="37"/>
      <c r="G30" s="28"/>
      <c r="H30" s="25" t="s">
        <v>45</v>
      </c>
      <c r="I30" s="13">
        <v>4200</v>
      </c>
      <c r="J30" s="56" t="s">
        <v>48</v>
      </c>
      <c r="K30" s="61" t="s">
        <v>49</v>
      </c>
      <c r="L30" s="62"/>
      <c r="M30" s="63"/>
      <c r="N30" s="63"/>
      <c r="O30" s="64"/>
    </row>
    <row r="31" s="1" customFormat="1" ht="18" customHeight="1" spans="1:15">
      <c r="A31" s="36"/>
      <c r="B31" s="37">
        <f>ROUND(G31/(1+E31),2)</f>
        <v>0</v>
      </c>
      <c r="C31" s="38"/>
      <c r="D31" s="39"/>
      <c r="E31" s="41"/>
      <c r="F31" s="37">
        <f>ROUND(G31/(1+E31)*E31,2)</f>
        <v>0</v>
      </c>
      <c r="G31" s="28"/>
      <c r="H31" s="25" t="s">
        <v>45</v>
      </c>
      <c r="I31" s="13">
        <v>520</v>
      </c>
      <c r="J31" s="56" t="s">
        <v>43</v>
      </c>
      <c r="K31" s="61" t="s">
        <v>50</v>
      </c>
      <c r="L31" s="62"/>
      <c r="M31" s="63"/>
      <c r="N31" s="63"/>
      <c r="O31" s="64"/>
    </row>
    <row r="32" ht="18" customHeight="1" spans="1:15">
      <c r="A32" s="32" t="s">
        <v>22</v>
      </c>
      <c r="B32" s="31">
        <f>SUM(B16:B31)</f>
        <v>80920</v>
      </c>
      <c r="C32" s="32"/>
      <c r="D32" s="42"/>
      <c r="E32" s="42"/>
      <c r="F32" s="33">
        <f>SUM(F16:F31)</f>
        <v>0</v>
      </c>
      <c r="G32" s="43">
        <f>SUM(G16:G31)</f>
        <v>80920</v>
      </c>
      <c r="H32" s="44"/>
      <c r="I32" s="32">
        <f>SUM(I16:I31)</f>
        <v>510000</v>
      </c>
      <c r="J32" s="66"/>
      <c r="K32" s="42"/>
      <c r="L32" s="67"/>
      <c r="M32" s="56"/>
      <c r="N32" s="56"/>
      <c r="O32" s="34"/>
    </row>
    <row r="33" ht="18" customHeight="1" spans="1:14">
      <c r="A33" s="45" t="s">
        <v>51</v>
      </c>
      <c r="B33" s="46">
        <f>B13*0.96</f>
        <v>449174.311926605</v>
      </c>
      <c r="C33" s="45"/>
      <c r="D33" s="47"/>
      <c r="E33" s="47"/>
      <c r="F33" s="46"/>
      <c r="G33" s="46">
        <f>G13-G32</f>
        <v>429080</v>
      </c>
      <c r="H33" s="24" t="s">
        <v>52</v>
      </c>
      <c r="I33" s="32">
        <f>I13-I32</f>
        <v>0</v>
      </c>
      <c r="J33" s="6"/>
      <c r="K33" s="68"/>
      <c r="M33" s="69"/>
      <c r="N33" s="69"/>
    </row>
    <row r="34" ht="18" customHeight="1" spans="1:14">
      <c r="A34" s="45" t="s">
        <v>53</v>
      </c>
      <c r="B34" s="46">
        <f>B33-B32</f>
        <v>368254.311926605</v>
      </c>
      <c r="C34" s="45"/>
      <c r="D34" s="47"/>
      <c r="E34" s="47"/>
      <c r="F34" s="46"/>
      <c r="G34" s="46"/>
      <c r="H34" s="48"/>
      <c r="I34" s="46"/>
      <c r="J34" s="6"/>
      <c r="K34" s="68"/>
      <c r="M34" s="69"/>
      <c r="N34" s="69"/>
    </row>
    <row r="35" ht="18" customHeight="1" spans="1:3">
      <c r="A35" s="2" t="s">
        <v>54</v>
      </c>
      <c r="C35" s="2"/>
    </row>
    <row r="36" ht="18" customHeight="1" spans="1:7">
      <c r="A36" s="24" t="s">
        <v>55</v>
      </c>
      <c r="B36" s="23" t="s">
        <v>56</v>
      </c>
      <c r="C36" s="34"/>
      <c r="D36" s="24" t="s">
        <v>55</v>
      </c>
      <c r="E36" s="22" t="s">
        <v>15</v>
      </c>
      <c r="F36" s="23" t="s">
        <v>56</v>
      </c>
      <c r="G36" s="70" t="s">
        <v>57</v>
      </c>
    </row>
    <row r="37" ht="18" customHeight="1" spans="1:7">
      <c r="A37" s="34" t="s">
        <v>58</v>
      </c>
      <c r="B37" s="19">
        <f>(B33-B32)*0.25</f>
        <v>92063.5779816514</v>
      </c>
      <c r="C37" s="34"/>
      <c r="D37" s="30" t="s">
        <v>59</v>
      </c>
      <c r="E37" s="24" t="s">
        <v>60</v>
      </c>
      <c r="F37" s="33">
        <f>F13-F32</f>
        <v>32752.2935779817</v>
      </c>
      <c r="G37" s="76">
        <v>7431.19</v>
      </c>
    </row>
    <row r="38" ht="18" customHeight="1" spans="1:7">
      <c r="A38" s="34" t="s">
        <v>61</v>
      </c>
      <c r="B38" s="49">
        <f>G7*0.0003</f>
        <v>126</v>
      </c>
      <c r="C38" s="34"/>
      <c r="D38" s="50" t="s">
        <v>62</v>
      </c>
      <c r="E38" s="15">
        <v>0.05</v>
      </c>
      <c r="F38" s="13">
        <f>F37*E38</f>
        <v>1637.61467889908</v>
      </c>
      <c r="G38" s="70">
        <f>G37*0.1</f>
        <v>743.119</v>
      </c>
    </row>
    <row r="39" ht="18" customHeight="1" spans="1:7">
      <c r="A39" s="34" t="s">
        <v>63</v>
      </c>
      <c r="B39" s="49">
        <f>B13*0.0006</f>
        <v>280.733944954128</v>
      </c>
      <c r="C39" s="34"/>
      <c r="D39" s="50" t="s">
        <v>64</v>
      </c>
      <c r="E39" s="15">
        <v>0.03</v>
      </c>
      <c r="F39" s="13">
        <f>F37*E39</f>
        <v>982.568807339449</v>
      </c>
      <c r="G39" s="70">
        <v>0</v>
      </c>
    </row>
    <row r="40" ht="18" customHeight="1" spans="1:7">
      <c r="A40" s="34"/>
      <c r="B40" s="70"/>
      <c r="C40" s="34"/>
      <c r="D40" s="50" t="s">
        <v>65</v>
      </c>
      <c r="E40" s="15">
        <v>0.02</v>
      </c>
      <c r="F40" s="13">
        <f>F37*E40</f>
        <v>655.045871559633</v>
      </c>
      <c r="G40" s="70">
        <v>0</v>
      </c>
    </row>
    <row r="41" ht="18" customHeight="1" spans="1:7">
      <c r="A41" s="30" t="s">
        <v>66</v>
      </c>
      <c r="B41" s="71">
        <f>SUM(B37:B40)</f>
        <v>92470.3119266055</v>
      </c>
      <c r="C41" s="34"/>
      <c r="D41" s="35" t="s">
        <v>66</v>
      </c>
      <c r="E41" s="30"/>
      <c r="F41" s="33">
        <f>SUM(F37:F40)</f>
        <v>36027.5229357798</v>
      </c>
      <c r="G41" s="76">
        <f>SUM(G37:G40)</f>
        <v>8174.309</v>
      </c>
    </row>
    <row r="42" ht="18" customHeight="1" spans="3:7">
      <c r="C42" s="2"/>
      <c r="D42" s="13" t="s">
        <v>61</v>
      </c>
      <c r="E42" s="65">
        <v>0.0003</v>
      </c>
      <c r="F42" s="13">
        <f>G13*E42</f>
        <v>153</v>
      </c>
      <c r="G42" s="70">
        <f>90000*E42</f>
        <v>27</v>
      </c>
    </row>
    <row r="43" ht="18" customHeight="1" spans="3:7">
      <c r="C43" s="2"/>
      <c r="D43" s="13" t="s">
        <v>63</v>
      </c>
      <c r="E43" s="65">
        <v>0.0006</v>
      </c>
      <c r="F43" s="13">
        <f>B13*E43</f>
        <v>280.733944954128</v>
      </c>
      <c r="G43" s="70">
        <f>B8*E43</f>
        <v>49.5412844036697</v>
      </c>
    </row>
    <row r="44" ht="18" customHeight="1" spans="3:7">
      <c r="C44" s="2"/>
      <c r="D44" s="22" t="s">
        <v>66</v>
      </c>
      <c r="E44" s="42"/>
      <c r="F44" s="32">
        <f>F43+F42</f>
        <v>433.733944954128</v>
      </c>
      <c r="G44" s="77">
        <f>SUM(G42:G43)</f>
        <v>76.5412844036697</v>
      </c>
    </row>
    <row r="45" ht="18" customHeight="1" spans="3:7">
      <c r="C45" s="2"/>
      <c r="D45" s="22" t="s">
        <v>22</v>
      </c>
      <c r="E45" s="32"/>
      <c r="F45" s="32">
        <f>F41+F44</f>
        <v>36461.2568807339</v>
      </c>
      <c r="G45" s="77">
        <f>G41+G44</f>
        <v>8250.85028440367</v>
      </c>
    </row>
    <row r="46" ht="18" customHeight="1" spans="3:7">
      <c r="C46" s="2"/>
      <c r="D46" s="32" t="s">
        <v>58</v>
      </c>
      <c r="E46" s="42">
        <v>0.01</v>
      </c>
      <c r="F46" s="32">
        <f>B13*E46</f>
        <v>4678.89908256881</v>
      </c>
      <c r="G46" s="77"/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autoFilter ref="A15:O46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13" workbookViewId="0">
      <selection activeCell="T16" sqref="T16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7.55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5.1083333333333" style="6" customWidth="1"/>
    <col min="12" max="12" width="12.775" style="7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8" t="s">
        <v>67</v>
      </c>
      <c r="B1" s="9"/>
      <c r="C1" s="9"/>
      <c r="D1" s="9"/>
      <c r="E1" s="9"/>
      <c r="F1" s="10"/>
      <c r="G1" s="10"/>
      <c r="H1" s="9"/>
      <c r="I1" s="10"/>
      <c r="J1" s="9"/>
      <c r="K1" s="21"/>
      <c r="L1" s="51"/>
    </row>
    <row r="2" ht="18" customHeight="1" spans="1:12">
      <c r="A2" s="11" t="s">
        <v>1</v>
      </c>
      <c r="B2" s="12" t="s">
        <v>68</v>
      </c>
      <c r="C2" s="13"/>
      <c r="D2" s="14">
        <v>575252.87</v>
      </c>
      <c r="E2" s="15" t="s">
        <v>69</v>
      </c>
      <c r="F2" s="16" t="s">
        <v>3</v>
      </c>
      <c r="G2" s="17" t="s">
        <v>4</v>
      </c>
      <c r="H2" s="18"/>
      <c r="I2" s="52"/>
      <c r="J2" s="53"/>
      <c r="K2" s="54" t="s">
        <v>5</v>
      </c>
      <c r="L2" s="51"/>
    </row>
    <row r="3" ht="18" customHeight="1" spans="1:12">
      <c r="A3" s="11" t="s">
        <v>6</v>
      </c>
      <c r="B3" s="19"/>
      <c r="C3" s="13" t="s">
        <v>7</v>
      </c>
      <c r="D3" s="20">
        <v>587529.92</v>
      </c>
      <c r="H3" s="21"/>
      <c r="I3" s="55"/>
      <c r="J3" s="21"/>
      <c r="K3" s="21"/>
      <c r="L3" s="51"/>
    </row>
    <row r="4" ht="18" customHeight="1" spans="1:12">
      <c r="A4" s="2" t="s">
        <v>8</v>
      </c>
      <c r="H4" s="21"/>
      <c r="I4" s="55"/>
      <c r="J4" s="21"/>
      <c r="K4" s="21"/>
      <c r="L4" s="51"/>
    </row>
    <row r="5" ht="18" customHeight="1" spans="1:10">
      <c r="A5" s="22" t="s">
        <v>9</v>
      </c>
      <c r="B5" s="23" t="s">
        <v>10</v>
      </c>
      <c r="C5" s="22" t="s">
        <v>11</v>
      </c>
      <c r="D5" s="22"/>
      <c r="E5" s="22" t="s">
        <v>12</v>
      </c>
      <c r="F5" s="23"/>
      <c r="G5" s="23" t="s">
        <v>13</v>
      </c>
      <c r="H5" s="24" t="s">
        <v>14</v>
      </c>
      <c r="I5" s="23"/>
      <c r="J5" s="24"/>
    </row>
    <row r="6" ht="18" customHeight="1" spans="1:10">
      <c r="A6" s="22"/>
      <c r="B6" s="23"/>
      <c r="C6" s="22" t="s">
        <v>15</v>
      </c>
      <c r="D6" s="22" t="s">
        <v>16</v>
      </c>
      <c r="E6" s="22" t="s">
        <v>15</v>
      </c>
      <c r="F6" s="23" t="s">
        <v>16</v>
      </c>
      <c r="G6" s="23"/>
      <c r="H6" s="24" t="s">
        <v>17</v>
      </c>
      <c r="I6" s="23" t="s">
        <v>18</v>
      </c>
      <c r="J6" s="24" t="s">
        <v>19</v>
      </c>
    </row>
    <row r="7" ht="18" customHeight="1" spans="1:10">
      <c r="A7" s="25">
        <v>43609</v>
      </c>
      <c r="B7" s="13">
        <f t="shared" ref="B7:B9" si="0">G7/(1+C7+E7)</f>
        <v>82568.8073394495</v>
      </c>
      <c r="C7" s="26">
        <v>0</v>
      </c>
      <c r="D7" s="27">
        <f t="shared" ref="D7:D9" si="1">G7/(1+E7+C7)*C7</f>
        <v>0</v>
      </c>
      <c r="E7" s="26">
        <v>0.09</v>
      </c>
      <c r="F7" s="13">
        <f t="shared" ref="F7:F9" si="2">G7/(1+C7+E7)*E7</f>
        <v>7431.19266055046</v>
      </c>
      <c r="G7" s="28">
        <v>90000</v>
      </c>
      <c r="H7" s="25">
        <v>43614</v>
      </c>
      <c r="I7" s="13">
        <v>100000</v>
      </c>
      <c r="J7" s="56" t="s">
        <v>20</v>
      </c>
    </row>
    <row r="8" ht="18" customHeight="1" spans="1:10">
      <c r="A8" s="25"/>
      <c r="B8" s="13">
        <f t="shared" si="0"/>
        <v>192660.550458716</v>
      </c>
      <c r="C8" s="29"/>
      <c r="D8" s="27">
        <f t="shared" si="1"/>
        <v>0</v>
      </c>
      <c r="E8" s="26">
        <v>0.09</v>
      </c>
      <c r="F8" s="13">
        <f t="shared" si="2"/>
        <v>17339.4495412844</v>
      </c>
      <c r="G8" s="28">
        <f>D3-G7-G9</f>
        <v>210000</v>
      </c>
      <c r="H8" s="25">
        <v>43849</v>
      </c>
      <c r="I8" s="13">
        <v>200000</v>
      </c>
      <c r="J8" s="56" t="s">
        <v>20</v>
      </c>
    </row>
    <row r="9" ht="18" customHeight="1" spans="1:10">
      <c r="A9" s="25"/>
      <c r="B9" s="13">
        <f t="shared" si="0"/>
        <v>263788.917431193</v>
      </c>
      <c r="C9" s="29"/>
      <c r="D9" s="27">
        <f t="shared" si="1"/>
        <v>0</v>
      </c>
      <c r="E9" s="26">
        <v>0.09</v>
      </c>
      <c r="F9" s="13">
        <f t="shared" si="2"/>
        <v>23741.0025688073</v>
      </c>
      <c r="G9" s="28">
        <v>287529.92</v>
      </c>
      <c r="H9" s="25">
        <v>44235</v>
      </c>
      <c r="I9" s="13">
        <v>257529</v>
      </c>
      <c r="J9" s="56" t="s">
        <v>20</v>
      </c>
    </row>
    <row r="10" ht="18" customHeight="1" spans="1:10">
      <c r="A10" s="25"/>
      <c r="B10" s="13"/>
      <c r="C10" s="29"/>
      <c r="D10" s="27"/>
      <c r="E10" s="26"/>
      <c r="F10" s="13"/>
      <c r="G10" s="28"/>
      <c r="H10" s="25"/>
      <c r="I10" s="13"/>
      <c r="J10" s="56"/>
    </row>
    <row r="11" ht="18" customHeight="1" spans="1:10">
      <c r="A11" s="25"/>
      <c r="B11" s="13"/>
      <c r="C11" s="29"/>
      <c r="D11" s="27"/>
      <c r="E11" s="26"/>
      <c r="F11" s="13"/>
      <c r="G11" s="28"/>
      <c r="H11" s="25"/>
      <c r="I11" s="13"/>
      <c r="J11" s="56"/>
    </row>
    <row r="12" ht="18" customHeight="1" spans="1:10">
      <c r="A12" s="25"/>
      <c r="B12" s="13"/>
      <c r="C12" s="29"/>
      <c r="D12" s="27"/>
      <c r="E12" s="26"/>
      <c r="F12" s="13"/>
      <c r="G12" s="28"/>
      <c r="H12" s="25"/>
      <c r="I12" s="13"/>
      <c r="J12" s="56"/>
    </row>
    <row r="13" ht="18" customHeight="1" spans="1:10">
      <c r="A13" s="30" t="s">
        <v>22</v>
      </c>
      <c r="B13" s="31">
        <f>SUM(B7:B12)</f>
        <v>539018.275229358</v>
      </c>
      <c r="C13" s="32"/>
      <c r="D13" s="32">
        <f>SUM(D7:D12)</f>
        <v>0</v>
      </c>
      <c r="E13" s="32"/>
      <c r="F13" s="33">
        <f>SUM(F7:F12)</f>
        <v>48511.6447706422</v>
      </c>
      <c r="G13" s="32">
        <f>SUM(G7:G12)</f>
        <v>587529.92</v>
      </c>
      <c r="H13" s="34"/>
      <c r="I13" s="32">
        <f>SUM(I7:I12)</f>
        <v>557529</v>
      </c>
      <c r="J13" s="34"/>
    </row>
    <row r="14" ht="18" customHeight="1" spans="1:12">
      <c r="A14" s="2" t="s">
        <v>23</v>
      </c>
      <c r="I14" s="3">
        <f>D3-I13</f>
        <v>30000.92</v>
      </c>
      <c r="J14" s="4"/>
      <c r="K14" s="4"/>
      <c r="L14" s="57"/>
    </row>
    <row r="15" ht="18" customHeight="1" spans="1:21">
      <c r="A15" s="35" t="s">
        <v>24</v>
      </c>
      <c r="B15" s="23" t="s">
        <v>25</v>
      </c>
      <c r="C15" s="22" t="s">
        <v>26</v>
      </c>
      <c r="D15" s="22" t="s">
        <v>27</v>
      </c>
      <c r="E15" s="22" t="s">
        <v>15</v>
      </c>
      <c r="F15" s="23" t="s">
        <v>28</v>
      </c>
      <c r="G15" s="23" t="s">
        <v>13</v>
      </c>
      <c r="H15" s="22" t="s">
        <v>29</v>
      </c>
      <c r="I15" s="23" t="s">
        <v>30</v>
      </c>
      <c r="J15" s="22" t="s">
        <v>19</v>
      </c>
      <c r="K15" s="58" t="s">
        <v>31</v>
      </c>
      <c r="L15" s="59" t="s">
        <v>32</v>
      </c>
      <c r="M15" s="24" t="s">
        <v>33</v>
      </c>
      <c r="N15" s="24" t="s">
        <v>34</v>
      </c>
      <c r="O15" s="24" t="s">
        <v>35</v>
      </c>
      <c r="P15" s="60"/>
      <c r="Q15" s="60"/>
      <c r="R15" s="60"/>
      <c r="S15" s="60"/>
      <c r="T15" s="60"/>
      <c r="U15" s="60"/>
    </row>
    <row r="16" s="1" customFormat="1" ht="18" customHeight="1" spans="1:15">
      <c r="A16" s="36"/>
      <c r="B16" s="37"/>
      <c r="C16" s="38"/>
      <c r="D16" s="39"/>
      <c r="E16" s="40"/>
      <c r="F16" s="37"/>
      <c r="G16" s="72"/>
      <c r="H16" s="25" t="s">
        <v>70</v>
      </c>
      <c r="I16" s="37">
        <v>90000</v>
      </c>
      <c r="J16" s="56" t="s">
        <v>20</v>
      </c>
      <c r="K16" s="74"/>
      <c r="L16" s="62"/>
      <c r="M16" s="63"/>
      <c r="N16" s="63"/>
      <c r="O16" s="64"/>
    </row>
    <row r="17" s="1" customFormat="1" ht="18" customHeight="1" spans="1:15">
      <c r="A17" s="36"/>
      <c r="B17" s="37"/>
      <c r="C17" s="38"/>
      <c r="D17" s="39"/>
      <c r="E17" s="40"/>
      <c r="F17" s="37"/>
      <c r="G17" s="72"/>
      <c r="H17" s="25" t="s">
        <v>71</v>
      </c>
      <c r="I17" s="37">
        <v>55713</v>
      </c>
      <c r="J17" s="56" t="s">
        <v>20</v>
      </c>
      <c r="K17" s="74" t="s">
        <v>72</v>
      </c>
      <c r="L17" s="62" t="s">
        <v>73</v>
      </c>
      <c r="M17" s="63"/>
      <c r="N17" s="63"/>
      <c r="O17" s="64"/>
    </row>
    <row r="18" s="1" customFormat="1" ht="18" customHeight="1" spans="1:15">
      <c r="A18" s="36"/>
      <c r="B18" s="37">
        <f t="shared" ref="B18:B39" si="3">ROUND(G18/(1+E18),2)</f>
        <v>0</v>
      </c>
      <c r="C18" s="38"/>
      <c r="D18" s="39"/>
      <c r="E18" s="40"/>
      <c r="F18" s="37">
        <f t="shared" ref="F18:F39" si="4">ROUND(G18/(1+E18)*E18,2)</f>
        <v>0</v>
      </c>
      <c r="G18" s="72"/>
      <c r="H18" s="25" t="s">
        <v>71</v>
      </c>
      <c r="I18" s="37">
        <v>79700</v>
      </c>
      <c r="J18" s="56" t="s">
        <v>20</v>
      </c>
      <c r="K18" s="74" t="s">
        <v>74</v>
      </c>
      <c r="L18" s="62" t="s">
        <v>75</v>
      </c>
      <c r="M18" s="63"/>
      <c r="N18" s="63"/>
      <c r="O18" s="64"/>
    </row>
    <row r="19" s="1" customFormat="1" ht="18" customHeight="1" spans="1:15">
      <c r="A19" s="36"/>
      <c r="B19" s="37">
        <f t="shared" si="3"/>
        <v>0</v>
      </c>
      <c r="C19" s="38"/>
      <c r="D19" s="39"/>
      <c r="E19" s="40"/>
      <c r="F19" s="37">
        <f t="shared" si="4"/>
        <v>0</v>
      </c>
      <c r="G19" s="72"/>
      <c r="H19" s="25" t="s">
        <v>71</v>
      </c>
      <c r="I19" s="37">
        <v>54000</v>
      </c>
      <c r="J19" s="56" t="s">
        <v>20</v>
      </c>
      <c r="K19" s="74" t="s">
        <v>74</v>
      </c>
      <c r="L19" s="62" t="s">
        <v>76</v>
      </c>
      <c r="M19" s="63"/>
      <c r="N19" s="63"/>
      <c r="O19" s="64"/>
    </row>
    <row r="20" s="1" customFormat="1" ht="18" customHeight="1" spans="1:15">
      <c r="A20" s="36"/>
      <c r="B20" s="37">
        <f t="shared" si="3"/>
        <v>0</v>
      </c>
      <c r="C20" s="38"/>
      <c r="D20" s="39"/>
      <c r="E20" s="40"/>
      <c r="F20" s="37">
        <f t="shared" si="4"/>
        <v>0</v>
      </c>
      <c r="G20" s="72"/>
      <c r="H20" s="25" t="s">
        <v>71</v>
      </c>
      <c r="I20" s="37">
        <v>4026</v>
      </c>
      <c r="J20" s="56" t="s">
        <v>20</v>
      </c>
      <c r="K20" s="74" t="s">
        <v>77</v>
      </c>
      <c r="L20" s="62" t="s">
        <v>78</v>
      </c>
      <c r="M20" s="63"/>
      <c r="N20" s="63"/>
      <c r="O20" s="64"/>
    </row>
    <row r="21" s="1" customFormat="1" ht="18" customHeight="1" spans="1:15">
      <c r="A21" s="36"/>
      <c r="B21" s="37">
        <f t="shared" si="3"/>
        <v>0</v>
      </c>
      <c r="C21" s="38"/>
      <c r="D21" s="39"/>
      <c r="E21" s="41"/>
      <c r="F21" s="37">
        <f t="shared" si="4"/>
        <v>0</v>
      </c>
      <c r="G21" s="28"/>
      <c r="H21" s="73" t="s">
        <v>79</v>
      </c>
      <c r="I21" s="37">
        <v>20481</v>
      </c>
      <c r="J21" s="63" t="s">
        <v>20</v>
      </c>
      <c r="K21" s="61" t="s">
        <v>72</v>
      </c>
      <c r="L21" s="62" t="s">
        <v>80</v>
      </c>
      <c r="M21" s="63"/>
      <c r="N21" s="63"/>
      <c r="O21" s="64"/>
    </row>
    <row r="22" s="1" customFormat="1" ht="18" customHeight="1" spans="1:15">
      <c r="A22" s="36"/>
      <c r="B22" s="37">
        <f t="shared" si="3"/>
        <v>495.05</v>
      </c>
      <c r="C22" s="38"/>
      <c r="D22" s="39"/>
      <c r="E22" s="41"/>
      <c r="F22" s="37">
        <f t="shared" si="4"/>
        <v>0</v>
      </c>
      <c r="G22" s="28">
        <v>495.05</v>
      </c>
      <c r="H22" s="73" t="s">
        <v>79</v>
      </c>
      <c r="I22" s="37">
        <v>38869</v>
      </c>
      <c r="J22" s="63" t="s">
        <v>20</v>
      </c>
      <c r="K22" s="61" t="s">
        <v>74</v>
      </c>
      <c r="L22" s="62" t="s">
        <v>80</v>
      </c>
      <c r="M22" s="63"/>
      <c r="N22" s="63"/>
      <c r="O22" s="64"/>
    </row>
    <row r="23" s="1" customFormat="1" ht="18" customHeight="1" spans="1:15">
      <c r="A23" s="36"/>
      <c r="B23" s="37">
        <f t="shared" si="3"/>
        <v>652.87</v>
      </c>
      <c r="C23" s="38"/>
      <c r="D23" s="39"/>
      <c r="E23" s="41"/>
      <c r="F23" s="37">
        <f t="shared" si="4"/>
        <v>0</v>
      </c>
      <c r="G23" s="28">
        <v>652.87</v>
      </c>
      <c r="H23" s="73" t="s">
        <v>79</v>
      </c>
      <c r="I23" s="37">
        <v>115940</v>
      </c>
      <c r="J23" s="63" t="s">
        <v>20</v>
      </c>
      <c r="K23" s="61" t="s">
        <v>74</v>
      </c>
      <c r="L23" s="62" t="s">
        <v>81</v>
      </c>
      <c r="M23" s="63"/>
      <c r="N23" s="63"/>
      <c r="O23" s="64"/>
    </row>
    <row r="24" s="1" customFormat="1" ht="18" customHeight="1" spans="1:15">
      <c r="A24" s="36"/>
      <c r="B24" s="37">
        <f t="shared" si="3"/>
        <v>763.02</v>
      </c>
      <c r="C24" s="38"/>
      <c r="D24" s="39"/>
      <c r="E24" s="41"/>
      <c r="F24" s="37">
        <f t="shared" si="4"/>
        <v>0</v>
      </c>
      <c r="G24" s="28">
        <v>763.02</v>
      </c>
      <c r="H24" s="73" t="s">
        <v>79</v>
      </c>
      <c r="I24" s="37">
        <v>58800</v>
      </c>
      <c r="J24" s="63" t="s">
        <v>20</v>
      </c>
      <c r="K24" s="61" t="s">
        <v>82</v>
      </c>
      <c r="L24" s="62" t="s">
        <v>83</v>
      </c>
      <c r="M24" s="63"/>
      <c r="N24" s="63"/>
      <c r="O24" s="64"/>
    </row>
    <row r="25" s="1" customFormat="1" ht="18" customHeight="1" spans="1:15">
      <c r="A25" s="36"/>
      <c r="B25" s="37">
        <f t="shared" si="3"/>
        <v>2356.23</v>
      </c>
      <c r="C25" s="38"/>
      <c r="D25" s="39"/>
      <c r="E25" s="41"/>
      <c r="F25" s="37">
        <f t="shared" si="4"/>
        <v>0</v>
      </c>
      <c r="G25" s="28">
        <v>2356.23</v>
      </c>
      <c r="H25" s="25"/>
      <c r="I25" s="37"/>
      <c r="J25" s="56"/>
      <c r="K25" s="61"/>
      <c r="L25" s="62"/>
      <c r="M25" s="63"/>
      <c r="N25" s="63"/>
      <c r="O25" s="64"/>
    </row>
    <row r="26" s="1" customFormat="1" ht="18" customHeight="1" spans="1:15">
      <c r="A26" s="36"/>
      <c r="B26" s="37">
        <f t="shared" si="3"/>
        <v>582.16</v>
      </c>
      <c r="C26" s="38"/>
      <c r="D26" s="39"/>
      <c r="E26" s="41"/>
      <c r="F26" s="37">
        <f t="shared" si="4"/>
        <v>0</v>
      </c>
      <c r="G26" s="28">
        <v>582.16</v>
      </c>
      <c r="H26" s="25"/>
      <c r="I26" s="37"/>
      <c r="J26" s="56"/>
      <c r="K26" s="61"/>
      <c r="L26" s="62"/>
      <c r="M26" s="63"/>
      <c r="N26" s="63"/>
      <c r="O26" s="64"/>
    </row>
    <row r="27" s="1" customFormat="1" ht="18" customHeight="1" spans="1:15">
      <c r="A27" s="36"/>
      <c r="B27" s="37">
        <f t="shared" si="3"/>
        <v>0</v>
      </c>
      <c r="C27" s="38"/>
      <c r="D27" s="39"/>
      <c r="E27" s="41"/>
      <c r="F27" s="37">
        <f t="shared" si="4"/>
        <v>0</v>
      </c>
      <c r="G27" s="28"/>
      <c r="H27" s="25"/>
      <c r="I27" s="37"/>
      <c r="J27" s="63"/>
      <c r="K27" s="61"/>
      <c r="L27" s="62"/>
      <c r="M27" s="63"/>
      <c r="N27" s="63"/>
      <c r="O27" s="64"/>
    </row>
    <row r="28" s="1" customFormat="1" ht="18" customHeight="1" spans="1:15">
      <c r="A28" s="36"/>
      <c r="B28" s="37">
        <f t="shared" si="3"/>
        <v>0</v>
      </c>
      <c r="C28" s="38"/>
      <c r="D28" s="39"/>
      <c r="E28" s="41"/>
      <c r="F28" s="37">
        <f t="shared" si="4"/>
        <v>0</v>
      </c>
      <c r="G28" s="28"/>
      <c r="H28" s="25">
        <v>44264</v>
      </c>
      <c r="I28" s="37">
        <v>-3525</v>
      </c>
      <c r="J28" s="63" t="s">
        <v>46</v>
      </c>
      <c r="K28" s="65" t="s">
        <v>84</v>
      </c>
      <c r="L28" s="62"/>
      <c r="M28" s="63"/>
      <c r="N28" s="63"/>
      <c r="O28" s="64"/>
    </row>
    <row r="29" s="1" customFormat="1" ht="18" customHeight="1" spans="1:15">
      <c r="A29" s="36"/>
      <c r="B29" s="37">
        <f t="shared" si="3"/>
        <v>0</v>
      </c>
      <c r="C29" s="38"/>
      <c r="D29" s="39"/>
      <c r="E29" s="41"/>
      <c r="F29" s="37">
        <f t="shared" si="4"/>
        <v>0</v>
      </c>
      <c r="G29" s="28"/>
      <c r="H29" s="25" t="s">
        <v>85</v>
      </c>
      <c r="I29" s="13">
        <v>3525</v>
      </c>
      <c r="J29" s="56" t="s">
        <v>86</v>
      </c>
      <c r="K29" s="65" t="s">
        <v>84</v>
      </c>
      <c r="L29" s="62"/>
      <c r="M29" s="63"/>
      <c r="N29" s="63"/>
      <c r="O29" s="64"/>
    </row>
    <row r="30" s="1" customFormat="1" ht="18" customHeight="1" spans="1:15">
      <c r="A30" s="36"/>
      <c r="B30" s="37">
        <f t="shared" si="3"/>
        <v>0</v>
      </c>
      <c r="C30" s="38"/>
      <c r="D30" s="39"/>
      <c r="E30" s="41"/>
      <c r="F30" s="37">
        <f t="shared" si="4"/>
        <v>0</v>
      </c>
      <c r="G30" s="28"/>
      <c r="H30" s="25">
        <v>44252</v>
      </c>
      <c r="I30" s="37">
        <v>-920</v>
      </c>
      <c r="J30" s="63" t="s">
        <v>46</v>
      </c>
      <c r="K30" s="61" t="s">
        <v>87</v>
      </c>
      <c r="L30" s="62"/>
      <c r="M30" s="63"/>
      <c r="N30" s="63"/>
      <c r="O30" s="64"/>
    </row>
    <row r="31" s="1" customFormat="1" ht="18" customHeight="1" spans="1:15">
      <c r="A31" s="36"/>
      <c r="B31" s="37">
        <f t="shared" si="3"/>
        <v>0</v>
      </c>
      <c r="C31" s="38"/>
      <c r="D31" s="39"/>
      <c r="E31" s="41"/>
      <c r="F31" s="37">
        <f t="shared" si="4"/>
        <v>0</v>
      </c>
      <c r="G31" s="28"/>
      <c r="H31" s="25" t="s">
        <v>85</v>
      </c>
      <c r="I31" s="37">
        <v>920</v>
      </c>
      <c r="J31" s="56" t="s">
        <v>43</v>
      </c>
      <c r="K31" s="61" t="s">
        <v>88</v>
      </c>
      <c r="L31" s="62"/>
      <c r="M31" s="63"/>
      <c r="N31" s="63"/>
      <c r="O31" s="64"/>
    </row>
    <row r="32" s="1" customFormat="1" ht="18" customHeight="1" spans="1:15">
      <c r="A32" s="36"/>
      <c r="B32" s="37">
        <f t="shared" si="3"/>
        <v>0</v>
      </c>
      <c r="C32" s="38"/>
      <c r="D32" s="39"/>
      <c r="E32" s="41"/>
      <c r="F32" s="37">
        <f t="shared" si="4"/>
        <v>0</v>
      </c>
      <c r="G32" s="28"/>
      <c r="H32" s="25">
        <v>44251</v>
      </c>
      <c r="I32" s="37">
        <v>-7725.87</v>
      </c>
      <c r="J32" s="63" t="s">
        <v>46</v>
      </c>
      <c r="K32" s="61" t="s">
        <v>89</v>
      </c>
      <c r="L32" s="62"/>
      <c r="M32" s="63"/>
      <c r="N32" s="63"/>
      <c r="O32" s="64"/>
    </row>
    <row r="33" s="1" customFormat="1" ht="18" customHeight="1" spans="1:15">
      <c r="A33" s="36"/>
      <c r="B33" s="37">
        <f t="shared" si="3"/>
        <v>0</v>
      </c>
      <c r="C33" s="38"/>
      <c r="D33" s="39"/>
      <c r="E33" s="41"/>
      <c r="F33" s="37">
        <f t="shared" si="4"/>
        <v>0</v>
      </c>
      <c r="G33" s="28"/>
      <c r="H33" s="25" t="s">
        <v>85</v>
      </c>
      <c r="I33" s="37">
        <f>40000-I36-I42</f>
        <v>23680.27</v>
      </c>
      <c r="J33" s="56" t="s">
        <v>43</v>
      </c>
      <c r="K33" s="61" t="s">
        <v>90</v>
      </c>
      <c r="L33" s="62"/>
      <c r="M33" s="63"/>
      <c r="N33" s="63"/>
      <c r="O33" s="64"/>
    </row>
    <row r="34" s="1" customFormat="1" ht="18" customHeight="1" spans="1:15">
      <c r="A34" s="36"/>
      <c r="B34" s="37">
        <f t="shared" si="3"/>
        <v>0</v>
      </c>
      <c r="C34" s="38"/>
      <c r="D34" s="39"/>
      <c r="E34" s="41"/>
      <c r="F34" s="37">
        <f t="shared" si="4"/>
        <v>0</v>
      </c>
      <c r="G34" s="28"/>
      <c r="H34" s="25" t="s">
        <v>85</v>
      </c>
      <c r="I34" s="13">
        <v>7725.87</v>
      </c>
      <c r="J34" s="56" t="s">
        <v>43</v>
      </c>
      <c r="K34" s="61" t="s">
        <v>91</v>
      </c>
      <c r="L34" s="62"/>
      <c r="M34" s="63"/>
      <c r="N34" s="63"/>
      <c r="O34" s="64"/>
    </row>
    <row r="35" s="1" customFormat="1" ht="18" customHeight="1" spans="1:15">
      <c r="A35" s="36"/>
      <c r="B35" s="37">
        <f t="shared" si="3"/>
        <v>0</v>
      </c>
      <c r="C35" s="38"/>
      <c r="D35" s="39"/>
      <c r="E35" s="41"/>
      <c r="F35" s="37">
        <f t="shared" si="4"/>
        <v>0</v>
      </c>
      <c r="G35" s="28"/>
      <c r="H35" s="25" t="s">
        <v>92</v>
      </c>
      <c r="I35" s="13">
        <v>-6000</v>
      </c>
      <c r="J35" s="56" t="s">
        <v>46</v>
      </c>
      <c r="K35" s="61" t="s">
        <v>93</v>
      </c>
      <c r="L35" s="62"/>
      <c r="M35" s="63"/>
      <c r="N35" s="63"/>
      <c r="O35" s="64"/>
    </row>
    <row r="36" s="1" customFormat="1" ht="18" customHeight="1" spans="1:15">
      <c r="A36" s="36"/>
      <c r="B36" s="37">
        <f t="shared" si="3"/>
        <v>0</v>
      </c>
      <c r="C36" s="38"/>
      <c r="D36" s="39"/>
      <c r="E36" s="41"/>
      <c r="F36" s="37">
        <f t="shared" si="4"/>
        <v>0</v>
      </c>
      <c r="G36" s="28"/>
      <c r="H36" s="25" t="s">
        <v>92</v>
      </c>
      <c r="I36" s="13">
        <v>15494.04</v>
      </c>
      <c r="J36" s="56" t="s">
        <v>43</v>
      </c>
      <c r="K36" s="61" t="s">
        <v>94</v>
      </c>
      <c r="L36" s="62"/>
      <c r="M36" s="63"/>
      <c r="N36" s="63"/>
      <c r="O36" s="64"/>
    </row>
    <row r="37" s="1" customFormat="1" ht="18" customHeight="1" spans="1:15">
      <c r="A37" s="36"/>
      <c r="B37" s="37">
        <f t="shared" si="3"/>
        <v>0</v>
      </c>
      <c r="C37" s="38"/>
      <c r="D37" s="39"/>
      <c r="E37" s="41"/>
      <c r="F37" s="37">
        <f t="shared" si="4"/>
        <v>0</v>
      </c>
      <c r="G37" s="28"/>
      <c r="H37" s="25" t="s">
        <v>92</v>
      </c>
      <c r="I37" s="13">
        <v>-6174.31</v>
      </c>
      <c r="J37" s="56" t="s">
        <v>95</v>
      </c>
      <c r="K37" s="61" t="s">
        <v>96</v>
      </c>
      <c r="L37" s="62"/>
      <c r="M37" s="63"/>
      <c r="N37" s="63"/>
      <c r="O37" s="64"/>
    </row>
    <row r="38" s="1" customFormat="1" ht="18" customHeight="1" spans="1:15">
      <c r="A38" s="36"/>
      <c r="B38" s="37">
        <f t="shared" si="3"/>
        <v>0</v>
      </c>
      <c r="C38" s="38"/>
      <c r="D38" s="39"/>
      <c r="E38" s="41"/>
      <c r="F38" s="37">
        <f t="shared" si="4"/>
        <v>0</v>
      </c>
      <c r="G38" s="28"/>
      <c r="H38" s="25" t="s">
        <v>92</v>
      </c>
      <c r="I38" s="13">
        <v>6000</v>
      </c>
      <c r="J38" s="56" t="s">
        <v>43</v>
      </c>
      <c r="K38" s="61" t="s">
        <v>97</v>
      </c>
      <c r="L38" s="62"/>
      <c r="M38" s="63"/>
      <c r="N38" s="63"/>
      <c r="O38" s="64"/>
    </row>
    <row r="39" s="1" customFormat="1" ht="18" customHeight="1" spans="1:15">
      <c r="A39" s="36"/>
      <c r="B39" s="37">
        <f t="shared" si="3"/>
        <v>0</v>
      </c>
      <c r="C39" s="38"/>
      <c r="D39" s="39"/>
      <c r="E39" s="41"/>
      <c r="F39" s="37">
        <f t="shared" si="4"/>
        <v>0</v>
      </c>
      <c r="G39" s="28"/>
      <c r="H39" s="25" t="s">
        <v>45</v>
      </c>
      <c r="I39" s="13">
        <v>-3000</v>
      </c>
      <c r="J39" s="56" t="s">
        <v>46</v>
      </c>
      <c r="K39" s="61" t="s">
        <v>93</v>
      </c>
      <c r="L39" s="62"/>
      <c r="M39" s="63"/>
      <c r="N39" s="63"/>
      <c r="O39" s="64"/>
    </row>
    <row r="40" s="1" customFormat="1" ht="18" customHeight="1" spans="1:15">
      <c r="A40" s="36"/>
      <c r="B40" s="37"/>
      <c r="C40" s="38"/>
      <c r="D40" s="39"/>
      <c r="E40" s="41"/>
      <c r="F40" s="37"/>
      <c r="G40" s="28"/>
      <c r="H40" s="25" t="s">
        <v>45</v>
      </c>
      <c r="I40" s="13">
        <v>6174.31</v>
      </c>
      <c r="J40" s="56" t="s">
        <v>98</v>
      </c>
      <c r="K40" s="61"/>
      <c r="L40" s="62"/>
      <c r="M40" s="63"/>
      <c r="N40" s="63"/>
      <c r="O40" s="64"/>
    </row>
    <row r="41" s="1" customFormat="1" ht="18" customHeight="1" spans="1:15">
      <c r="A41" s="36"/>
      <c r="B41" s="37"/>
      <c r="C41" s="38"/>
      <c r="D41" s="39"/>
      <c r="E41" s="41"/>
      <c r="F41" s="37"/>
      <c r="G41" s="28"/>
      <c r="H41" s="25" t="s">
        <v>45</v>
      </c>
      <c r="I41" s="13">
        <v>3000</v>
      </c>
      <c r="J41" s="56" t="s">
        <v>43</v>
      </c>
      <c r="K41" s="61" t="s">
        <v>97</v>
      </c>
      <c r="L41" s="62"/>
      <c r="M41" s="63"/>
      <c r="N41" s="63"/>
      <c r="O41" s="64"/>
    </row>
    <row r="42" s="1" customFormat="1" ht="18" customHeight="1" spans="1:15">
      <c r="A42" s="36"/>
      <c r="B42" s="37">
        <f>ROUND(G42/(1+E42),2)</f>
        <v>0</v>
      </c>
      <c r="C42" s="38"/>
      <c r="D42" s="39"/>
      <c r="E42" s="41"/>
      <c r="F42" s="37">
        <f>ROUND(G42/(1+E42)*E42,2)</f>
        <v>0</v>
      </c>
      <c r="G42" s="28"/>
      <c r="H42" s="25" t="s">
        <v>45</v>
      </c>
      <c r="I42" s="13">
        <v>825.69</v>
      </c>
      <c r="J42" s="56" t="s">
        <v>43</v>
      </c>
      <c r="K42" s="61" t="s">
        <v>94</v>
      </c>
      <c r="L42" s="62"/>
      <c r="M42" s="63"/>
      <c r="N42" s="63"/>
      <c r="O42" s="64"/>
    </row>
    <row r="43" ht="18" customHeight="1" spans="1:15">
      <c r="A43" s="32" t="s">
        <v>22</v>
      </c>
      <c r="B43" s="31">
        <f>SUM(B16:B42)</f>
        <v>4849.33</v>
      </c>
      <c r="C43" s="32"/>
      <c r="D43" s="42"/>
      <c r="E43" s="42"/>
      <c r="F43" s="33">
        <f>SUM(F16:F42)</f>
        <v>0</v>
      </c>
      <c r="G43" s="43">
        <f>SUM(G16:G42)</f>
        <v>4849.33</v>
      </c>
      <c r="H43" s="44"/>
      <c r="I43" s="32">
        <f>SUM(I16:I42)</f>
        <v>557529</v>
      </c>
      <c r="J43" s="66"/>
      <c r="K43" s="42"/>
      <c r="L43" s="67"/>
      <c r="M43" s="56"/>
      <c r="N43" s="56"/>
      <c r="O43" s="34"/>
    </row>
    <row r="44" ht="18" customHeight="1" spans="1:14">
      <c r="A44" s="45" t="s">
        <v>51</v>
      </c>
      <c r="B44" s="46">
        <f>B13*0.96</f>
        <v>517457.544220184</v>
      </c>
      <c r="C44" s="45"/>
      <c r="D44" s="47"/>
      <c r="E44" s="47"/>
      <c r="F44" s="46"/>
      <c r="G44" s="46">
        <f>G13-G43</f>
        <v>582680.59</v>
      </c>
      <c r="H44" s="24" t="s">
        <v>52</v>
      </c>
      <c r="I44" s="32">
        <f>I13-I43</f>
        <v>0</v>
      </c>
      <c r="J44" s="6"/>
      <c r="K44" s="68"/>
      <c r="M44" s="69"/>
      <c r="N44" s="69"/>
    </row>
    <row r="45" ht="18" customHeight="1" spans="1:14">
      <c r="A45" s="45" t="s">
        <v>53</v>
      </c>
      <c r="B45" s="46">
        <f>B44-B43</f>
        <v>512608.214220184</v>
      </c>
      <c r="C45" s="45"/>
      <c r="D45" s="47"/>
      <c r="E45" s="47"/>
      <c r="F45" s="46"/>
      <c r="G45" s="46"/>
      <c r="H45" s="48"/>
      <c r="I45" s="46"/>
      <c r="J45" s="6"/>
      <c r="K45" s="68"/>
      <c r="M45" s="69"/>
      <c r="N45" s="69"/>
    </row>
    <row r="46" ht="18" customHeight="1" spans="1:12">
      <c r="A46" s="2" t="s">
        <v>54</v>
      </c>
      <c r="C46" s="2"/>
      <c r="L46" s="7">
        <f>4702.92+3525</f>
        <v>8227.92</v>
      </c>
    </row>
    <row r="47" ht="18" customHeight="1" spans="1:6">
      <c r="A47" s="24" t="s">
        <v>55</v>
      </c>
      <c r="B47" s="23" t="s">
        <v>56</v>
      </c>
      <c r="C47" s="34"/>
      <c r="D47" s="24" t="s">
        <v>55</v>
      </c>
      <c r="E47" s="22" t="s">
        <v>15</v>
      </c>
      <c r="F47" s="23" t="s">
        <v>56</v>
      </c>
    </row>
    <row r="48" ht="18" customHeight="1" spans="1:6">
      <c r="A48" s="34" t="s">
        <v>58</v>
      </c>
      <c r="B48" s="19">
        <f>(B44-B43)*0.25</f>
        <v>128152.053555046</v>
      </c>
      <c r="C48" s="34"/>
      <c r="D48" s="30" t="s">
        <v>59</v>
      </c>
      <c r="E48" s="24" t="s">
        <v>60</v>
      </c>
      <c r="F48" s="33">
        <f>F13-F43</f>
        <v>48511.6447706422</v>
      </c>
    </row>
    <row r="49" ht="18" customHeight="1" spans="1:6">
      <c r="A49" s="34" t="s">
        <v>61</v>
      </c>
      <c r="B49" s="49">
        <f>G7*0.0003</f>
        <v>27</v>
      </c>
      <c r="C49" s="34"/>
      <c r="D49" s="50" t="s">
        <v>62</v>
      </c>
      <c r="E49" s="15">
        <v>0.05</v>
      </c>
      <c r="F49" s="13">
        <f>F48*E49</f>
        <v>2425.58223853211</v>
      </c>
    </row>
    <row r="50" ht="18" customHeight="1" spans="1:6">
      <c r="A50" s="34" t="s">
        <v>63</v>
      </c>
      <c r="B50" s="49">
        <f>B13*0.0006</f>
        <v>323.410965137615</v>
      </c>
      <c r="C50" s="34"/>
      <c r="D50" s="50" t="s">
        <v>64</v>
      </c>
      <c r="E50" s="15">
        <v>0.03</v>
      </c>
      <c r="F50" s="13">
        <f>F48*E50</f>
        <v>1455.34934311927</v>
      </c>
    </row>
    <row r="51" ht="18" customHeight="1" spans="1:6">
      <c r="A51" s="34"/>
      <c r="B51" s="70"/>
      <c r="C51" s="34"/>
      <c r="D51" s="50" t="s">
        <v>65</v>
      </c>
      <c r="E51" s="15">
        <v>0.02</v>
      </c>
      <c r="F51" s="13">
        <f>F48*E51</f>
        <v>970.232895412844</v>
      </c>
    </row>
    <row r="52" ht="18" customHeight="1" spans="1:6">
      <c r="A52" s="30" t="s">
        <v>66</v>
      </c>
      <c r="B52" s="71">
        <f>SUM(B48:B51)</f>
        <v>128502.464520184</v>
      </c>
      <c r="C52" s="34"/>
      <c r="D52" s="35" t="s">
        <v>66</v>
      </c>
      <c r="E52" s="30"/>
      <c r="F52" s="33">
        <f>SUM(F48:F51)</f>
        <v>53362.8092477064</v>
      </c>
    </row>
    <row r="53" ht="18" customHeight="1" spans="3:6">
      <c r="C53" s="2"/>
      <c r="D53" s="13" t="s">
        <v>61</v>
      </c>
      <c r="E53" s="65">
        <v>0.0003</v>
      </c>
      <c r="F53" s="13">
        <f>G13*E53</f>
        <v>176.258976</v>
      </c>
    </row>
    <row r="54" ht="18" customHeight="1" spans="3:6">
      <c r="C54" s="2"/>
      <c r="D54" s="13" t="s">
        <v>63</v>
      </c>
      <c r="E54" s="65">
        <v>0.0006</v>
      </c>
      <c r="F54" s="13">
        <f>B13*E54</f>
        <v>323.410965137615</v>
      </c>
    </row>
    <row r="55" ht="18" customHeight="1" spans="3:6">
      <c r="C55" s="2"/>
      <c r="D55" s="22" t="s">
        <v>66</v>
      </c>
      <c r="E55" s="42"/>
      <c r="F55" s="32">
        <f>F54+F53</f>
        <v>499.669941137615</v>
      </c>
    </row>
    <row r="56" ht="18" customHeight="1" spans="3:6">
      <c r="C56" s="2"/>
      <c r="D56" s="22" t="s">
        <v>22</v>
      </c>
      <c r="E56" s="32"/>
      <c r="F56" s="32">
        <f>F52+F55</f>
        <v>53862.479188844</v>
      </c>
    </row>
    <row r="57" ht="18" customHeight="1" spans="3:6">
      <c r="C57" s="2"/>
      <c r="D57" s="32" t="s">
        <v>58</v>
      </c>
      <c r="E57" s="42">
        <v>0.01</v>
      </c>
      <c r="F57" s="32">
        <f>B13*E57</f>
        <v>5390.18275229358</v>
      </c>
    </row>
    <row r="58" ht="18" customHeight="1" spans="3:3">
      <c r="C58" s="2"/>
    </row>
    <row r="59" ht="18" customHeight="1" spans="3:3">
      <c r="C59" s="2"/>
    </row>
    <row r="60" ht="18" customHeight="1" spans="3:3">
      <c r="C60" s="2"/>
    </row>
    <row r="61" spans="3:3">
      <c r="C61" s="2"/>
    </row>
    <row r="62" spans="3:12">
      <c r="C62" s="2"/>
      <c r="L62" s="7">
        <f>I31+I38+I41</f>
        <v>9920</v>
      </c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</sheetData>
  <autoFilter ref="A15:O5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"/>
  <sheetViews>
    <sheetView topLeftCell="A25" workbookViewId="0">
      <selection activeCell="I13" sqref="I13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6.4416666666667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5.1083333333333" style="6" customWidth="1"/>
    <col min="12" max="12" width="12.775" style="7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8" t="s">
        <v>99</v>
      </c>
      <c r="B1" s="9"/>
      <c r="C1" s="9"/>
      <c r="D1" s="9"/>
      <c r="E1" s="9"/>
      <c r="F1" s="10"/>
      <c r="G1" s="10"/>
      <c r="H1" s="9"/>
      <c r="I1" s="10"/>
      <c r="J1" s="9"/>
      <c r="K1" s="21"/>
      <c r="L1" s="51"/>
    </row>
    <row r="2" ht="18" customHeight="1" spans="1:12">
      <c r="A2" s="11" t="s">
        <v>1</v>
      </c>
      <c r="B2" s="12" t="s">
        <v>100</v>
      </c>
      <c r="C2" s="13" t="s">
        <v>101</v>
      </c>
      <c r="D2" s="14">
        <v>1734062</v>
      </c>
      <c r="E2" s="15" t="s">
        <v>69</v>
      </c>
      <c r="F2" s="16" t="s">
        <v>3</v>
      </c>
      <c r="G2" s="17" t="s">
        <v>4</v>
      </c>
      <c r="H2" s="18"/>
      <c r="I2" s="52"/>
      <c r="J2" s="53"/>
      <c r="K2" s="54" t="s">
        <v>5</v>
      </c>
      <c r="L2" s="51"/>
    </row>
    <row r="3" ht="18" customHeight="1" spans="1:12">
      <c r="A3" s="11" t="s">
        <v>6</v>
      </c>
      <c r="B3" s="19"/>
      <c r="C3" s="13" t="s">
        <v>7</v>
      </c>
      <c r="D3" s="20">
        <v>1785146</v>
      </c>
      <c r="H3" s="21"/>
      <c r="I3" s="55"/>
      <c r="J3" s="21"/>
      <c r="K3" s="21"/>
      <c r="L3" s="51"/>
    </row>
    <row r="4" ht="18" customHeight="1" spans="1:12">
      <c r="A4" s="2" t="s">
        <v>8</v>
      </c>
      <c r="H4" s="21"/>
      <c r="I4" s="55"/>
      <c r="J4" s="21"/>
      <c r="K4" s="21"/>
      <c r="L4" s="51"/>
    </row>
    <row r="5" ht="18" customHeight="1" spans="1:10">
      <c r="A5" s="22" t="s">
        <v>9</v>
      </c>
      <c r="B5" s="23" t="s">
        <v>10</v>
      </c>
      <c r="C5" s="22" t="s">
        <v>11</v>
      </c>
      <c r="D5" s="22"/>
      <c r="E5" s="22" t="s">
        <v>12</v>
      </c>
      <c r="F5" s="23"/>
      <c r="G5" s="23" t="s">
        <v>13</v>
      </c>
      <c r="H5" s="24" t="s">
        <v>14</v>
      </c>
      <c r="I5" s="23"/>
      <c r="J5" s="24"/>
    </row>
    <row r="6" ht="18" customHeight="1" spans="1:10">
      <c r="A6" s="22"/>
      <c r="B6" s="23"/>
      <c r="C6" s="22" t="s">
        <v>15</v>
      </c>
      <c r="D6" s="22" t="s">
        <v>16</v>
      </c>
      <c r="E6" s="22" t="s">
        <v>15</v>
      </c>
      <c r="F6" s="23" t="s">
        <v>16</v>
      </c>
      <c r="G6" s="23"/>
      <c r="H6" s="24" t="s">
        <v>17</v>
      </c>
      <c r="I6" s="23" t="s">
        <v>18</v>
      </c>
      <c r="J6" s="24" t="s">
        <v>19</v>
      </c>
    </row>
    <row r="7" ht="18" customHeight="1" spans="1:10">
      <c r="A7" s="25"/>
      <c r="B7" s="13">
        <f t="shared" ref="B7:B9" si="0">G7/(1+C7+E7)</f>
        <v>0</v>
      </c>
      <c r="C7" s="26">
        <v>0.02</v>
      </c>
      <c r="D7" s="27">
        <f t="shared" ref="D7:D9" si="1">G7/(1+E7+C7)*C7</f>
        <v>0</v>
      </c>
      <c r="E7" s="26">
        <v>0.07</v>
      </c>
      <c r="F7" s="13">
        <f t="shared" ref="F7:F9" si="2">G7/(1+C7+E7)*E7</f>
        <v>0</v>
      </c>
      <c r="G7" s="28"/>
      <c r="H7" s="25">
        <v>43140</v>
      </c>
      <c r="I7" s="13">
        <v>910000</v>
      </c>
      <c r="J7" s="56" t="s">
        <v>20</v>
      </c>
    </row>
    <row r="8" ht="18" customHeight="1" spans="1:10">
      <c r="A8" s="25"/>
      <c r="B8" s="13">
        <f t="shared" si="0"/>
        <v>0</v>
      </c>
      <c r="C8" s="29"/>
      <c r="D8" s="27">
        <f t="shared" si="1"/>
        <v>0</v>
      </c>
      <c r="E8" s="26"/>
      <c r="F8" s="13">
        <f t="shared" si="2"/>
        <v>0</v>
      </c>
      <c r="G8" s="28"/>
      <c r="H8" s="25">
        <v>43285</v>
      </c>
      <c r="I8" s="13">
        <v>190000</v>
      </c>
      <c r="J8" s="56" t="s">
        <v>20</v>
      </c>
    </row>
    <row r="9" ht="18" customHeight="1" spans="1:10">
      <c r="A9" s="25"/>
      <c r="B9" s="13">
        <f t="shared" si="0"/>
        <v>0</v>
      </c>
      <c r="C9" s="29"/>
      <c r="D9" s="27">
        <f t="shared" si="1"/>
        <v>0</v>
      </c>
      <c r="E9" s="26"/>
      <c r="F9" s="13">
        <f t="shared" si="2"/>
        <v>0</v>
      </c>
      <c r="G9" s="28"/>
      <c r="H9" s="25">
        <v>43467</v>
      </c>
      <c r="I9" s="13">
        <v>450000</v>
      </c>
      <c r="J9" s="56" t="s">
        <v>20</v>
      </c>
    </row>
    <row r="10" ht="18" customHeight="1" spans="1:10">
      <c r="A10" s="25"/>
      <c r="B10" s="13"/>
      <c r="C10" s="29"/>
      <c r="D10" s="27"/>
      <c r="E10" s="26"/>
      <c r="F10" s="13"/>
      <c r="G10" s="28"/>
      <c r="H10" s="25">
        <v>44214</v>
      </c>
      <c r="I10" s="13">
        <v>235146</v>
      </c>
      <c r="J10" s="56" t="s">
        <v>20</v>
      </c>
    </row>
    <row r="11" ht="18" customHeight="1" spans="1:10">
      <c r="A11" s="25"/>
      <c r="B11" s="13"/>
      <c r="C11" s="29"/>
      <c r="D11" s="27"/>
      <c r="E11" s="26"/>
      <c r="F11" s="13"/>
      <c r="G11" s="28"/>
      <c r="H11" s="25"/>
      <c r="I11" s="13"/>
      <c r="J11" s="56"/>
    </row>
    <row r="12" ht="18" customHeight="1" spans="1:10">
      <c r="A12" s="25"/>
      <c r="B12" s="13">
        <f>G12/(1+C12+E12)</f>
        <v>0</v>
      </c>
      <c r="C12" s="29"/>
      <c r="D12" s="27">
        <f>G12/(1+E12+C12)*C12</f>
        <v>0</v>
      </c>
      <c r="E12" s="26"/>
      <c r="F12" s="13">
        <f>G12/(1+C12+E12)*E12</f>
        <v>0</v>
      </c>
      <c r="G12" s="28"/>
      <c r="H12" s="25"/>
      <c r="I12" s="13"/>
      <c r="J12" s="56"/>
    </row>
    <row r="13" ht="18" customHeight="1" spans="1:10">
      <c r="A13" s="30" t="s">
        <v>22</v>
      </c>
      <c r="B13" s="31">
        <f>SUM(B7:B12)</f>
        <v>0</v>
      </c>
      <c r="C13" s="32"/>
      <c r="D13" s="32">
        <f>SUM(D7:D12)</f>
        <v>0</v>
      </c>
      <c r="E13" s="32"/>
      <c r="F13" s="33">
        <f>SUM(F7:F12)</f>
        <v>0</v>
      </c>
      <c r="G13" s="32">
        <f>SUM(G7:G12)</f>
        <v>0</v>
      </c>
      <c r="H13" s="34"/>
      <c r="I13" s="32">
        <f>SUM(I7:I12)</f>
        <v>1785146</v>
      </c>
      <c r="J13" s="34"/>
    </row>
    <row r="14" ht="18" customHeight="1" spans="1:12">
      <c r="A14" s="2" t="s">
        <v>23</v>
      </c>
      <c r="I14" s="3">
        <f>D3-I13</f>
        <v>0</v>
      </c>
      <c r="J14" s="4"/>
      <c r="K14" s="4"/>
      <c r="L14" s="57"/>
    </row>
    <row r="15" ht="18" customHeight="1" spans="1:21">
      <c r="A15" s="35" t="s">
        <v>24</v>
      </c>
      <c r="B15" s="23" t="s">
        <v>25</v>
      </c>
      <c r="C15" s="22" t="s">
        <v>26</v>
      </c>
      <c r="D15" s="22" t="s">
        <v>27</v>
      </c>
      <c r="E15" s="22" t="s">
        <v>15</v>
      </c>
      <c r="F15" s="23" t="s">
        <v>28</v>
      </c>
      <c r="G15" s="23" t="s">
        <v>13</v>
      </c>
      <c r="H15" s="22" t="s">
        <v>29</v>
      </c>
      <c r="I15" s="23" t="s">
        <v>30</v>
      </c>
      <c r="J15" s="22" t="s">
        <v>19</v>
      </c>
      <c r="K15" s="58" t="s">
        <v>31</v>
      </c>
      <c r="L15" s="59" t="s">
        <v>32</v>
      </c>
      <c r="M15" s="24" t="s">
        <v>33</v>
      </c>
      <c r="N15" s="24" t="s">
        <v>34</v>
      </c>
      <c r="O15" s="24" t="s">
        <v>35</v>
      </c>
      <c r="P15" s="60"/>
      <c r="Q15" s="60"/>
      <c r="R15" s="60"/>
      <c r="S15" s="60"/>
      <c r="T15" s="60"/>
      <c r="U15" s="60"/>
    </row>
    <row r="16" s="1" customFormat="1" ht="18" customHeight="1" spans="1:15">
      <c r="A16" s="36"/>
      <c r="B16" s="37"/>
      <c r="C16" s="38"/>
      <c r="D16" s="39"/>
      <c r="E16" s="40"/>
      <c r="F16" s="37"/>
      <c r="G16" s="72"/>
      <c r="H16" s="25" t="s">
        <v>102</v>
      </c>
      <c r="I16" s="37">
        <v>1089000</v>
      </c>
      <c r="J16" s="56" t="s">
        <v>20</v>
      </c>
      <c r="K16" s="74"/>
      <c r="L16" s="62"/>
      <c r="M16" s="63"/>
      <c r="N16" s="63"/>
      <c r="O16" s="64"/>
    </row>
    <row r="17" s="1" customFormat="1" ht="18" customHeight="1" spans="1:15">
      <c r="A17" s="36"/>
      <c r="B17" s="37"/>
      <c r="C17" s="38"/>
      <c r="D17" s="39"/>
      <c r="E17" s="40"/>
      <c r="F17" s="37"/>
      <c r="G17" s="72"/>
      <c r="H17" s="25" t="s">
        <v>103</v>
      </c>
      <c r="I17" s="37">
        <v>445500</v>
      </c>
      <c r="J17" s="56" t="s">
        <v>20</v>
      </c>
      <c r="K17" s="74"/>
      <c r="L17" s="62"/>
      <c r="M17" s="63"/>
      <c r="N17" s="63"/>
      <c r="O17" s="64"/>
    </row>
    <row r="18" s="1" customFormat="1" ht="18" customHeight="1" spans="1:15">
      <c r="A18" s="36">
        <v>44228</v>
      </c>
      <c r="B18" s="37">
        <f>ROUND(G18/(1+E18),2)</f>
        <v>76035</v>
      </c>
      <c r="C18" s="38" t="s">
        <v>104</v>
      </c>
      <c r="D18" s="39" t="s">
        <v>37</v>
      </c>
      <c r="E18" s="40"/>
      <c r="F18" s="37">
        <f>ROUND(G18/(1+E18)*E18,2)</f>
        <v>0</v>
      </c>
      <c r="G18" s="72">
        <v>76035</v>
      </c>
      <c r="H18" s="25"/>
      <c r="I18" s="37"/>
      <c r="J18" s="56"/>
      <c r="K18" s="74" t="s">
        <v>105</v>
      </c>
      <c r="L18" s="62" t="s">
        <v>106</v>
      </c>
      <c r="M18" s="63"/>
      <c r="N18" s="63"/>
      <c r="O18" s="64"/>
    </row>
    <row r="19" s="1" customFormat="1" ht="18" customHeight="1" spans="1:15">
      <c r="A19" s="36">
        <v>44228</v>
      </c>
      <c r="B19" s="37">
        <f>ROUND(G19/(1+E19),2)</f>
        <v>30616</v>
      </c>
      <c r="C19" s="38" t="s">
        <v>104</v>
      </c>
      <c r="D19" s="39" t="s">
        <v>37</v>
      </c>
      <c r="E19" s="40"/>
      <c r="F19" s="37">
        <f>ROUND(G19/(1+E19)*E19,2)</f>
        <v>0</v>
      </c>
      <c r="G19" s="72">
        <v>30616</v>
      </c>
      <c r="H19" s="25"/>
      <c r="I19" s="37"/>
      <c r="J19" s="56"/>
      <c r="K19" s="74" t="s">
        <v>105</v>
      </c>
      <c r="L19" s="62" t="s">
        <v>41</v>
      </c>
      <c r="M19" s="63"/>
      <c r="N19" s="63"/>
      <c r="O19" s="64"/>
    </row>
    <row r="20" s="1" customFormat="1" ht="18" customHeight="1" spans="1:15">
      <c r="A20" s="36">
        <v>44228</v>
      </c>
      <c r="B20" s="37">
        <f>ROUND(G20/(1+E20),2)</f>
        <v>107253.1</v>
      </c>
      <c r="C20" s="38" t="s">
        <v>107</v>
      </c>
      <c r="D20" s="39" t="s">
        <v>108</v>
      </c>
      <c r="E20" s="40">
        <v>0.13</v>
      </c>
      <c r="F20" s="37">
        <f>ROUND(G20/(1+E20)*E20,2)</f>
        <v>13942.9</v>
      </c>
      <c r="G20" s="72">
        <v>121196</v>
      </c>
      <c r="H20" s="25"/>
      <c r="I20" s="37"/>
      <c r="J20" s="56"/>
      <c r="K20" s="74" t="s">
        <v>109</v>
      </c>
      <c r="L20" s="62" t="s">
        <v>110</v>
      </c>
      <c r="M20" s="63"/>
      <c r="N20" s="63"/>
      <c r="O20" s="64"/>
    </row>
    <row r="21" s="1" customFormat="1" ht="18" customHeight="1" spans="1:15">
      <c r="A21" s="36"/>
      <c r="B21" s="37">
        <f t="shared" ref="B21:B32" si="3">ROUND(G21/(1+E21),2)</f>
        <v>0</v>
      </c>
      <c r="C21" s="38"/>
      <c r="D21" s="39"/>
      <c r="E21" s="41"/>
      <c r="F21" s="37">
        <f t="shared" ref="F21:F32" si="4">ROUND(G21/(1+E21)*E21,2)</f>
        <v>0</v>
      </c>
      <c r="G21" s="28"/>
      <c r="H21" s="73" t="s">
        <v>79</v>
      </c>
      <c r="I21" s="37">
        <v>121196</v>
      </c>
      <c r="J21" s="63" t="s">
        <v>20</v>
      </c>
      <c r="K21" s="61" t="s">
        <v>109</v>
      </c>
      <c r="L21" s="62" t="s">
        <v>110</v>
      </c>
      <c r="M21" s="63"/>
      <c r="N21" s="63"/>
      <c r="O21" s="64"/>
    </row>
    <row r="22" s="1" customFormat="1" ht="18" customHeight="1" spans="1:15">
      <c r="A22" s="36"/>
      <c r="B22" s="37">
        <f t="shared" si="3"/>
        <v>0</v>
      </c>
      <c r="C22" s="38"/>
      <c r="D22" s="39"/>
      <c r="E22" s="41"/>
      <c r="F22" s="37">
        <f t="shared" si="4"/>
        <v>0</v>
      </c>
      <c r="G22" s="28"/>
      <c r="H22" s="73" t="s">
        <v>79</v>
      </c>
      <c r="I22" s="37">
        <v>106651</v>
      </c>
      <c r="J22" s="63" t="s">
        <v>20</v>
      </c>
      <c r="K22" s="75" t="s">
        <v>105</v>
      </c>
      <c r="L22" s="62" t="s">
        <v>111</v>
      </c>
      <c r="M22" s="63"/>
      <c r="N22" s="63"/>
      <c r="O22" s="64"/>
    </row>
    <row r="23" s="1" customFormat="1" ht="18" customHeight="1" spans="1:15">
      <c r="A23" s="36"/>
      <c r="B23" s="37">
        <f t="shared" si="3"/>
        <v>0</v>
      </c>
      <c r="C23" s="38"/>
      <c r="D23" s="39"/>
      <c r="E23" s="41"/>
      <c r="F23" s="37">
        <f t="shared" si="4"/>
        <v>0</v>
      </c>
      <c r="G23" s="28"/>
      <c r="H23" s="25"/>
      <c r="I23" s="13"/>
      <c r="J23" s="56"/>
      <c r="K23" s="61"/>
      <c r="L23" s="62"/>
      <c r="M23" s="63"/>
      <c r="N23" s="63"/>
      <c r="O23" s="64"/>
    </row>
    <row r="24" s="1" customFormat="1" ht="18" customHeight="1" spans="1:15">
      <c r="A24" s="36"/>
      <c r="B24" s="37">
        <f t="shared" si="3"/>
        <v>0</v>
      </c>
      <c r="C24" s="38"/>
      <c r="D24" s="39"/>
      <c r="E24" s="41"/>
      <c r="F24" s="37">
        <f t="shared" si="4"/>
        <v>0</v>
      </c>
      <c r="G24" s="28"/>
      <c r="H24" s="25"/>
      <c r="I24" s="13"/>
      <c r="J24" s="56"/>
      <c r="K24" s="61"/>
      <c r="L24" s="62"/>
      <c r="M24" s="63"/>
      <c r="N24" s="63"/>
      <c r="O24" s="64"/>
    </row>
    <row r="25" s="1" customFormat="1" ht="18" customHeight="1" spans="1:15">
      <c r="A25" s="36"/>
      <c r="B25" s="37">
        <f t="shared" si="3"/>
        <v>0</v>
      </c>
      <c r="C25" s="38"/>
      <c r="D25" s="39"/>
      <c r="E25" s="41"/>
      <c r="F25" s="37">
        <f t="shared" si="4"/>
        <v>0</v>
      </c>
      <c r="G25" s="28"/>
      <c r="H25" s="25"/>
      <c r="I25" s="37"/>
      <c r="J25" s="63"/>
      <c r="K25" s="61"/>
      <c r="L25" s="62"/>
      <c r="M25" s="63"/>
      <c r="N25" s="63"/>
      <c r="O25" s="64"/>
    </row>
    <row r="26" s="1" customFormat="1" ht="18" customHeight="1" spans="1:15">
      <c r="A26" s="36"/>
      <c r="B26" s="37">
        <f t="shared" si="3"/>
        <v>0</v>
      </c>
      <c r="C26" s="38"/>
      <c r="D26" s="39"/>
      <c r="E26" s="41"/>
      <c r="F26" s="37">
        <f t="shared" si="4"/>
        <v>0</v>
      </c>
      <c r="G26" s="28"/>
      <c r="H26" s="25"/>
      <c r="I26" s="37"/>
      <c r="J26" s="63"/>
      <c r="K26" s="61"/>
      <c r="L26" s="62"/>
      <c r="M26" s="63"/>
      <c r="N26" s="63"/>
      <c r="O26" s="64"/>
    </row>
    <row r="27" s="1" customFormat="1" ht="18" customHeight="1" spans="1:15">
      <c r="A27" s="36"/>
      <c r="B27" s="37">
        <f t="shared" si="3"/>
        <v>0</v>
      </c>
      <c r="C27" s="38"/>
      <c r="D27" s="39"/>
      <c r="E27" s="41"/>
      <c r="F27" s="37">
        <f t="shared" si="4"/>
        <v>0</v>
      </c>
      <c r="G27" s="28"/>
      <c r="H27" s="25"/>
      <c r="I27" s="37"/>
      <c r="J27" s="63"/>
      <c r="K27" s="61"/>
      <c r="L27" s="62"/>
      <c r="M27" s="63"/>
      <c r="N27" s="63"/>
      <c r="O27" s="64"/>
    </row>
    <row r="28" s="1" customFormat="1" ht="18" customHeight="1" spans="1:15">
      <c r="A28" s="36"/>
      <c r="B28" s="37">
        <f t="shared" si="3"/>
        <v>0</v>
      </c>
      <c r="C28" s="38"/>
      <c r="D28" s="39"/>
      <c r="E28" s="41"/>
      <c r="F28" s="37">
        <f t="shared" si="4"/>
        <v>0</v>
      </c>
      <c r="G28" s="28"/>
      <c r="H28" s="25"/>
      <c r="I28" s="37"/>
      <c r="J28" s="63"/>
      <c r="K28" s="61"/>
      <c r="L28" s="62"/>
      <c r="M28" s="63"/>
      <c r="N28" s="63"/>
      <c r="O28" s="64"/>
    </row>
    <row r="29" s="1" customFormat="1" ht="18" customHeight="1" spans="1:15">
      <c r="A29" s="36"/>
      <c r="B29" s="37">
        <f t="shared" si="3"/>
        <v>0</v>
      </c>
      <c r="C29" s="38"/>
      <c r="D29" s="39"/>
      <c r="E29" s="41"/>
      <c r="F29" s="37">
        <f t="shared" si="4"/>
        <v>0</v>
      </c>
      <c r="G29" s="28"/>
      <c r="H29" s="25"/>
      <c r="I29" s="37"/>
      <c r="J29" s="63"/>
      <c r="K29" s="61"/>
      <c r="L29" s="62"/>
      <c r="M29" s="63"/>
      <c r="N29" s="63"/>
      <c r="O29" s="64"/>
    </row>
    <row r="30" s="1" customFormat="1" ht="18" customHeight="1" spans="1:15">
      <c r="A30" s="36"/>
      <c r="B30" s="37">
        <f t="shared" si="3"/>
        <v>0</v>
      </c>
      <c r="C30" s="38"/>
      <c r="D30" s="39"/>
      <c r="E30" s="41"/>
      <c r="F30" s="37">
        <f t="shared" si="4"/>
        <v>0</v>
      </c>
      <c r="G30" s="28"/>
      <c r="H30" s="25"/>
      <c r="I30" s="37"/>
      <c r="J30" s="63"/>
      <c r="K30" s="61"/>
      <c r="L30" s="62"/>
      <c r="M30" s="63"/>
      <c r="N30" s="63"/>
      <c r="O30" s="64"/>
    </row>
    <row r="31" s="1" customFormat="1" ht="18" customHeight="1" spans="1:15">
      <c r="A31" s="36"/>
      <c r="B31" s="37">
        <f t="shared" si="3"/>
        <v>0</v>
      </c>
      <c r="C31" s="38"/>
      <c r="D31" s="39"/>
      <c r="E31" s="41"/>
      <c r="F31" s="37">
        <f t="shared" si="4"/>
        <v>0</v>
      </c>
      <c r="G31" s="28"/>
      <c r="H31" s="25"/>
      <c r="I31" s="37"/>
      <c r="J31" s="63"/>
      <c r="K31" s="61"/>
      <c r="L31" s="62"/>
      <c r="M31" s="63"/>
      <c r="N31" s="63"/>
      <c r="O31" s="64"/>
    </row>
    <row r="32" s="1" customFormat="1" ht="18" customHeight="1" spans="1:15">
      <c r="A32" s="36"/>
      <c r="B32" s="37">
        <f t="shared" si="3"/>
        <v>0</v>
      </c>
      <c r="C32" s="38"/>
      <c r="D32" s="39"/>
      <c r="E32" s="41"/>
      <c r="F32" s="37">
        <f t="shared" si="4"/>
        <v>0</v>
      </c>
      <c r="G32" s="28"/>
      <c r="H32" s="25"/>
      <c r="I32" s="37"/>
      <c r="J32" s="63"/>
      <c r="K32" s="61"/>
      <c r="L32" s="62"/>
      <c r="M32" s="63"/>
      <c r="N32" s="63"/>
      <c r="O32" s="64"/>
    </row>
    <row r="33" s="1" customFormat="1" ht="18" customHeight="1" spans="1:15">
      <c r="A33" s="36"/>
      <c r="B33" s="37">
        <f t="shared" ref="B33:B38" si="5">ROUND(G33/(1+E33),2)</f>
        <v>0</v>
      </c>
      <c r="C33" s="38"/>
      <c r="D33" s="39"/>
      <c r="E33" s="41"/>
      <c r="F33" s="37">
        <f t="shared" ref="F33:F38" si="6">ROUND(G33/(1+E33)*E33,2)</f>
        <v>0</v>
      </c>
      <c r="G33" s="28"/>
      <c r="H33" s="25"/>
      <c r="I33" s="37"/>
      <c r="J33" s="63"/>
      <c r="K33" s="61"/>
      <c r="L33" s="62"/>
      <c r="M33" s="63"/>
      <c r="N33" s="63"/>
      <c r="O33" s="64"/>
    </row>
    <row r="34" s="1" customFormat="1" ht="18" customHeight="1" spans="1:15">
      <c r="A34" s="36"/>
      <c r="B34" s="37">
        <f t="shared" si="5"/>
        <v>0</v>
      </c>
      <c r="C34" s="38"/>
      <c r="D34" s="39"/>
      <c r="E34" s="41"/>
      <c r="F34" s="37">
        <f t="shared" si="6"/>
        <v>0</v>
      </c>
      <c r="G34" s="28"/>
      <c r="H34" s="25"/>
      <c r="I34" s="13"/>
      <c r="J34" s="56"/>
      <c r="K34" s="61"/>
      <c r="L34" s="62"/>
      <c r="M34" s="63"/>
      <c r="N34" s="63"/>
      <c r="O34" s="64"/>
    </row>
    <row r="35" s="1" customFormat="1" ht="18" customHeight="1" spans="1:15">
      <c r="A35" s="36"/>
      <c r="B35" s="37">
        <f t="shared" si="5"/>
        <v>0</v>
      </c>
      <c r="C35" s="38"/>
      <c r="D35" s="39"/>
      <c r="E35" s="41"/>
      <c r="F35" s="37">
        <f t="shared" si="6"/>
        <v>0</v>
      </c>
      <c r="G35" s="28"/>
      <c r="H35" s="25">
        <v>44264</v>
      </c>
      <c r="I35" s="13">
        <v>7299</v>
      </c>
      <c r="J35" s="56" t="s">
        <v>43</v>
      </c>
      <c r="K35" s="61" t="s">
        <v>112</v>
      </c>
      <c r="L35" s="62"/>
      <c r="M35" s="63"/>
      <c r="N35" s="63"/>
      <c r="O35" s="64"/>
    </row>
    <row r="36" s="1" customFormat="1" ht="18" customHeight="1" spans="1:15">
      <c r="A36" s="36"/>
      <c r="B36" s="37">
        <f t="shared" si="5"/>
        <v>0</v>
      </c>
      <c r="C36" s="38"/>
      <c r="D36" s="39"/>
      <c r="E36" s="41"/>
      <c r="F36" s="37">
        <f t="shared" si="6"/>
        <v>0</v>
      </c>
      <c r="G36" s="28"/>
      <c r="H36" s="25">
        <v>44264</v>
      </c>
      <c r="I36" s="13">
        <v>-4720</v>
      </c>
      <c r="J36" s="56" t="s">
        <v>46</v>
      </c>
      <c r="K36" s="61" t="s">
        <v>113</v>
      </c>
      <c r="L36" s="62"/>
      <c r="M36" s="63"/>
      <c r="N36" s="63"/>
      <c r="O36" s="64"/>
    </row>
    <row r="37" s="1" customFormat="1" ht="18" customHeight="1" spans="1:15">
      <c r="A37" s="36"/>
      <c r="B37" s="37">
        <f t="shared" si="5"/>
        <v>0</v>
      </c>
      <c r="C37" s="38"/>
      <c r="D37" s="39"/>
      <c r="E37" s="41"/>
      <c r="F37" s="37">
        <f t="shared" si="6"/>
        <v>0</v>
      </c>
      <c r="G37" s="28"/>
      <c r="H37" s="25">
        <v>44264</v>
      </c>
      <c r="I37" s="13">
        <v>4720</v>
      </c>
      <c r="J37" s="56" t="s">
        <v>43</v>
      </c>
      <c r="K37" s="61" t="s">
        <v>113</v>
      </c>
      <c r="L37" s="62"/>
      <c r="M37" s="63"/>
      <c r="N37" s="63"/>
      <c r="O37" s="64"/>
    </row>
    <row r="38" s="1" customFormat="1" ht="18" customHeight="1" spans="1:15">
      <c r="A38" s="36"/>
      <c r="B38" s="37">
        <f t="shared" si="5"/>
        <v>0</v>
      </c>
      <c r="C38" s="38"/>
      <c r="D38" s="39"/>
      <c r="E38" s="41"/>
      <c r="F38" s="37">
        <f t="shared" si="6"/>
        <v>0</v>
      </c>
      <c r="G38" s="28"/>
      <c r="H38" s="25">
        <v>43493</v>
      </c>
      <c r="I38" s="13">
        <v>-31000</v>
      </c>
      <c r="J38" s="56" t="s">
        <v>46</v>
      </c>
      <c r="K38" s="61" t="s">
        <v>93</v>
      </c>
      <c r="L38" s="62"/>
      <c r="M38" s="63"/>
      <c r="N38" s="63"/>
      <c r="O38" s="64"/>
    </row>
    <row r="39" s="1" customFormat="1" ht="18" customHeight="1" spans="1:15">
      <c r="A39" s="36"/>
      <c r="B39" s="37"/>
      <c r="C39" s="38"/>
      <c r="D39" s="39"/>
      <c r="E39" s="41"/>
      <c r="F39" s="37"/>
      <c r="G39" s="28"/>
      <c r="H39" s="25" t="s">
        <v>85</v>
      </c>
      <c r="I39" s="13">
        <v>4500</v>
      </c>
      <c r="J39" s="56" t="s">
        <v>48</v>
      </c>
      <c r="K39" s="61" t="s">
        <v>49</v>
      </c>
      <c r="L39" s="62"/>
      <c r="M39" s="63"/>
      <c r="N39" s="63"/>
      <c r="O39" s="64"/>
    </row>
    <row r="40" s="1" customFormat="1" ht="18" customHeight="1" spans="1:15">
      <c r="A40" s="36"/>
      <c r="B40" s="37">
        <f>ROUND(G40/(1+E40),2)</f>
        <v>0</v>
      </c>
      <c r="C40" s="38"/>
      <c r="D40" s="39"/>
      <c r="E40" s="41"/>
      <c r="F40" s="37">
        <f>ROUND(G40/(1+E40)*E40,2)</f>
        <v>0</v>
      </c>
      <c r="G40" s="28"/>
      <c r="H40" s="25" t="s">
        <v>85</v>
      </c>
      <c r="I40" s="13">
        <v>9000</v>
      </c>
      <c r="J40" s="56" t="s">
        <v>43</v>
      </c>
      <c r="K40" s="61" t="s">
        <v>93</v>
      </c>
      <c r="L40" s="62"/>
      <c r="M40" s="63"/>
      <c r="N40" s="63"/>
      <c r="O40" s="64"/>
    </row>
    <row r="41" s="1" customFormat="1" ht="18" customHeight="1" spans="1:15">
      <c r="A41" s="36"/>
      <c r="B41" s="37"/>
      <c r="C41" s="38"/>
      <c r="D41" s="39"/>
      <c r="E41" s="41"/>
      <c r="F41" s="37"/>
      <c r="G41" s="28"/>
      <c r="H41" s="25" t="s">
        <v>92</v>
      </c>
      <c r="I41" s="13">
        <v>1900</v>
      </c>
      <c r="J41" s="56" t="s">
        <v>48</v>
      </c>
      <c r="K41" s="61" t="s">
        <v>49</v>
      </c>
      <c r="L41" s="62"/>
      <c r="M41" s="63"/>
      <c r="N41" s="63"/>
      <c r="O41" s="64"/>
    </row>
    <row r="42" s="1" customFormat="1" ht="18" customHeight="1" spans="1:15">
      <c r="A42" s="36"/>
      <c r="B42" s="37">
        <f>ROUND(G42/(1+E42),2)</f>
        <v>0</v>
      </c>
      <c r="C42" s="38"/>
      <c r="D42" s="39"/>
      <c r="E42" s="41"/>
      <c r="F42" s="37">
        <f>ROUND(G42/(1+E42)*E42,2)</f>
        <v>0</v>
      </c>
      <c r="G42" s="28"/>
      <c r="H42" s="25" t="s">
        <v>92</v>
      </c>
      <c r="I42" s="13">
        <v>3800</v>
      </c>
      <c r="J42" s="56" t="s">
        <v>43</v>
      </c>
      <c r="K42" s="61" t="s">
        <v>93</v>
      </c>
      <c r="L42" s="62"/>
      <c r="M42" s="63"/>
      <c r="N42" s="63"/>
      <c r="O42" s="64"/>
    </row>
    <row r="43" s="1" customFormat="1" ht="18" customHeight="1" spans="1:15">
      <c r="A43" s="36"/>
      <c r="B43" s="37"/>
      <c r="C43" s="38"/>
      <c r="D43" s="39"/>
      <c r="E43" s="41"/>
      <c r="F43" s="37"/>
      <c r="G43" s="28"/>
      <c r="H43" s="25" t="s">
        <v>45</v>
      </c>
      <c r="I43" s="13">
        <v>9100</v>
      </c>
      <c r="J43" s="56" t="s">
        <v>48</v>
      </c>
      <c r="K43" s="61" t="s">
        <v>49</v>
      </c>
      <c r="L43" s="62"/>
      <c r="M43" s="63"/>
      <c r="N43" s="63"/>
      <c r="O43" s="64"/>
    </row>
    <row r="44" s="1" customFormat="1" ht="18" customHeight="1" spans="1:15">
      <c r="A44" s="36"/>
      <c r="B44" s="37">
        <f>ROUND(G44/(1+E44),2)</f>
        <v>0</v>
      </c>
      <c r="C44" s="38"/>
      <c r="D44" s="39"/>
      <c r="E44" s="41"/>
      <c r="F44" s="37">
        <f>ROUND(G44/(1+E44)*E44,2)</f>
        <v>0</v>
      </c>
      <c r="G44" s="28"/>
      <c r="H44" s="25" t="s">
        <v>45</v>
      </c>
      <c r="I44" s="13">
        <v>18200</v>
      </c>
      <c r="J44" s="56" t="s">
        <v>43</v>
      </c>
      <c r="K44" s="61" t="s">
        <v>93</v>
      </c>
      <c r="L44" s="62"/>
      <c r="M44" s="63"/>
      <c r="N44" s="63"/>
      <c r="O44" s="64"/>
    </row>
    <row r="45" ht="18" customHeight="1" spans="1:15">
      <c r="A45" s="32" t="s">
        <v>22</v>
      </c>
      <c r="B45" s="31">
        <f>SUM(B16:B44)</f>
        <v>213904.1</v>
      </c>
      <c r="C45" s="32"/>
      <c r="D45" s="42"/>
      <c r="E45" s="42"/>
      <c r="F45" s="33">
        <f>SUM(F16:F44)</f>
        <v>13942.9</v>
      </c>
      <c r="G45" s="43">
        <f>SUM(G16:G44)</f>
        <v>227847</v>
      </c>
      <c r="H45" s="44"/>
      <c r="I45" s="32">
        <f>SUM(I16:I44)</f>
        <v>1785146</v>
      </c>
      <c r="J45" s="66"/>
      <c r="K45" s="42"/>
      <c r="L45" s="67"/>
      <c r="M45" s="56"/>
      <c r="N45" s="56"/>
      <c r="O45" s="34"/>
    </row>
    <row r="46" ht="18" customHeight="1" spans="1:14">
      <c r="A46" s="45" t="s">
        <v>51</v>
      </c>
      <c r="B46" s="46">
        <f>B13*0.96</f>
        <v>0</v>
      </c>
      <c r="C46" s="45"/>
      <c r="D46" s="47"/>
      <c r="E46" s="47"/>
      <c r="F46" s="46"/>
      <c r="G46" s="46">
        <f>G13-G45</f>
        <v>-227847</v>
      </c>
      <c r="H46" s="24" t="s">
        <v>52</v>
      </c>
      <c r="I46" s="32">
        <f>I13-I45</f>
        <v>0</v>
      </c>
      <c r="J46" s="6"/>
      <c r="K46" s="68"/>
      <c r="M46" s="69"/>
      <c r="N46" s="69"/>
    </row>
    <row r="47" ht="18" customHeight="1" spans="1:14">
      <c r="A47" s="45" t="s">
        <v>53</v>
      </c>
      <c r="B47" s="46">
        <f>B46-B45</f>
        <v>-213904.1</v>
      </c>
      <c r="C47" s="45"/>
      <c r="D47" s="47"/>
      <c r="E47" s="47"/>
      <c r="F47" s="46"/>
      <c r="G47" s="46"/>
      <c r="H47" s="48"/>
      <c r="I47" s="46"/>
      <c r="J47" s="6"/>
      <c r="K47" s="68"/>
      <c r="M47" s="69"/>
      <c r="N47" s="69"/>
    </row>
    <row r="48" ht="18" customHeight="1" spans="1:3">
      <c r="A48" s="2" t="s">
        <v>54</v>
      </c>
      <c r="C48" s="2"/>
    </row>
    <row r="49" ht="18" customHeight="1" spans="1:6">
      <c r="A49" s="24" t="s">
        <v>55</v>
      </c>
      <c r="B49" s="23" t="s">
        <v>56</v>
      </c>
      <c r="C49" s="34"/>
      <c r="D49" s="24" t="s">
        <v>55</v>
      </c>
      <c r="E49" s="22" t="s">
        <v>15</v>
      </c>
      <c r="F49" s="23" t="s">
        <v>56</v>
      </c>
    </row>
    <row r="50" ht="18" customHeight="1" spans="1:6">
      <c r="A50" s="34" t="s">
        <v>58</v>
      </c>
      <c r="B50" s="19">
        <f>(B46-B45)*0.25</f>
        <v>-53476.025</v>
      </c>
      <c r="C50" s="34"/>
      <c r="D50" s="30" t="s">
        <v>59</v>
      </c>
      <c r="E50" s="24" t="s">
        <v>60</v>
      </c>
      <c r="F50" s="33">
        <f>F13-F45</f>
        <v>-13942.9</v>
      </c>
    </row>
    <row r="51" ht="18" customHeight="1" spans="1:6">
      <c r="A51" s="34" t="s">
        <v>61</v>
      </c>
      <c r="B51" s="49">
        <f>G7*0.0003</f>
        <v>0</v>
      </c>
      <c r="C51" s="34"/>
      <c r="D51" s="50" t="s">
        <v>62</v>
      </c>
      <c r="E51" s="15">
        <v>0.05</v>
      </c>
      <c r="F51" s="13">
        <f>F50*E51</f>
        <v>-697.145</v>
      </c>
    </row>
    <row r="52" ht="18" customHeight="1" spans="1:6">
      <c r="A52" s="34" t="s">
        <v>63</v>
      </c>
      <c r="B52" s="49">
        <f>B13*0.0006</f>
        <v>0</v>
      </c>
      <c r="C52" s="34"/>
      <c r="D52" s="50" t="s">
        <v>64</v>
      </c>
      <c r="E52" s="15">
        <v>0.03</v>
      </c>
      <c r="F52" s="13">
        <f>F50*E52</f>
        <v>-418.287</v>
      </c>
    </row>
    <row r="53" ht="18" customHeight="1" spans="1:6">
      <c r="A53" s="34"/>
      <c r="B53" s="70"/>
      <c r="C53" s="34"/>
      <c r="D53" s="50" t="s">
        <v>65</v>
      </c>
      <c r="E53" s="15">
        <v>0.02</v>
      </c>
      <c r="F53" s="13">
        <f>F50*E53</f>
        <v>-278.858</v>
      </c>
    </row>
    <row r="54" ht="18" customHeight="1" spans="1:6">
      <c r="A54" s="30" t="s">
        <v>66</v>
      </c>
      <c r="B54" s="71">
        <f>SUM(B50:B53)</f>
        <v>-53476.025</v>
      </c>
      <c r="C54" s="34"/>
      <c r="D54" s="35" t="s">
        <v>66</v>
      </c>
      <c r="E54" s="30"/>
      <c r="F54" s="33">
        <f>SUM(F50:F53)</f>
        <v>-15337.19</v>
      </c>
    </row>
    <row r="55" ht="18" customHeight="1" spans="3:6">
      <c r="C55" s="2"/>
      <c r="D55" s="13" t="s">
        <v>61</v>
      </c>
      <c r="E55" s="65">
        <v>0.0003</v>
      </c>
      <c r="F55" s="13">
        <f>G13*E55</f>
        <v>0</v>
      </c>
    </row>
    <row r="56" ht="18" customHeight="1" spans="3:6">
      <c r="C56" s="2"/>
      <c r="D56" s="13" t="s">
        <v>63</v>
      </c>
      <c r="E56" s="65">
        <v>0.0006</v>
      </c>
      <c r="F56" s="13">
        <f>B13*E56</f>
        <v>0</v>
      </c>
    </row>
    <row r="57" ht="18" customHeight="1" spans="3:6">
      <c r="C57" s="2"/>
      <c r="D57" s="22" t="s">
        <v>66</v>
      </c>
      <c r="E57" s="42"/>
      <c r="F57" s="32">
        <f>F56+F55</f>
        <v>0</v>
      </c>
    </row>
    <row r="58" ht="18" customHeight="1" spans="3:6">
      <c r="C58" s="2"/>
      <c r="D58" s="22" t="s">
        <v>22</v>
      </c>
      <c r="E58" s="32"/>
      <c r="F58" s="32">
        <f>F54+F57</f>
        <v>-15337.19</v>
      </c>
    </row>
    <row r="59" ht="18" customHeight="1" spans="3:6">
      <c r="C59" s="2"/>
      <c r="D59" s="32" t="s">
        <v>58</v>
      </c>
      <c r="E59" s="42">
        <v>0.01</v>
      </c>
      <c r="F59" s="32">
        <f>B13*E59</f>
        <v>0</v>
      </c>
    </row>
    <row r="60" ht="18" customHeight="1" spans="3:3">
      <c r="C60" s="2"/>
    </row>
    <row r="61" ht="18" customHeight="1" spans="3:3">
      <c r="C61" s="2"/>
    </row>
    <row r="62" ht="18" customHeight="1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7">
      <c r="C78" s="2"/>
      <c r="G78" s="3">
        <f>8245-8227.92</f>
        <v>17.0799999999999</v>
      </c>
    </row>
  </sheetData>
  <autoFilter ref="A15:O5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"/>
  <sheetViews>
    <sheetView tabSelected="1" topLeftCell="A31" workbookViewId="0">
      <selection activeCell="K44" sqref="K44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6.108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5.1083333333333" style="6" customWidth="1"/>
    <col min="12" max="12" width="12.775" style="7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8" t="s">
        <v>114</v>
      </c>
      <c r="B1" s="9"/>
      <c r="C1" s="9"/>
      <c r="D1" s="9"/>
      <c r="E1" s="9"/>
      <c r="F1" s="10"/>
      <c r="G1" s="10"/>
      <c r="H1" s="9"/>
      <c r="I1" s="10"/>
      <c r="J1" s="9"/>
      <c r="K1" s="21"/>
      <c r="L1" s="51"/>
    </row>
    <row r="2" ht="18" customHeight="1" spans="1:12">
      <c r="A2" s="11" t="s">
        <v>1</v>
      </c>
      <c r="B2" s="12" t="s">
        <v>115</v>
      </c>
      <c r="C2" s="13" t="s">
        <v>101</v>
      </c>
      <c r="D2" s="14">
        <v>1830133.63</v>
      </c>
      <c r="E2" s="15" t="s">
        <v>69</v>
      </c>
      <c r="F2" s="16" t="s">
        <v>3</v>
      </c>
      <c r="G2" s="17" t="s">
        <v>4</v>
      </c>
      <c r="H2" s="18"/>
      <c r="I2" s="52"/>
      <c r="J2" s="53"/>
      <c r="K2" s="54" t="s">
        <v>5</v>
      </c>
      <c r="L2" s="51"/>
    </row>
    <row r="3" ht="18" customHeight="1" spans="1:12">
      <c r="A3" s="11" t="s">
        <v>6</v>
      </c>
      <c r="B3" s="19"/>
      <c r="C3" s="13" t="s">
        <v>7</v>
      </c>
      <c r="D3" s="20"/>
      <c r="H3" s="21"/>
      <c r="I3" s="55"/>
      <c r="J3" s="21"/>
      <c r="K3" s="21"/>
      <c r="L3" s="51"/>
    </row>
    <row r="4" ht="18" customHeight="1" spans="1:12">
      <c r="A4" s="2" t="s">
        <v>8</v>
      </c>
      <c r="H4" s="21"/>
      <c r="I4" s="55"/>
      <c r="J4" s="21"/>
      <c r="K4" s="21"/>
      <c r="L4" s="51"/>
    </row>
    <row r="5" ht="18" customHeight="1" spans="1:10">
      <c r="A5" s="22" t="s">
        <v>9</v>
      </c>
      <c r="B5" s="23" t="s">
        <v>10</v>
      </c>
      <c r="C5" s="22" t="s">
        <v>11</v>
      </c>
      <c r="D5" s="22"/>
      <c r="E5" s="22" t="s">
        <v>12</v>
      </c>
      <c r="F5" s="23"/>
      <c r="G5" s="23" t="s">
        <v>13</v>
      </c>
      <c r="H5" s="24" t="s">
        <v>14</v>
      </c>
      <c r="I5" s="23"/>
      <c r="J5" s="24"/>
    </row>
    <row r="6" ht="18" customHeight="1" spans="1:10">
      <c r="A6" s="22"/>
      <c r="B6" s="23"/>
      <c r="C6" s="22" t="s">
        <v>15</v>
      </c>
      <c r="D6" s="22" t="s">
        <v>16</v>
      </c>
      <c r="E6" s="22" t="s">
        <v>15</v>
      </c>
      <c r="F6" s="23" t="s">
        <v>16</v>
      </c>
      <c r="G6" s="23"/>
      <c r="H6" s="24" t="s">
        <v>17</v>
      </c>
      <c r="I6" s="23" t="s">
        <v>18</v>
      </c>
      <c r="J6" s="24" t="s">
        <v>19</v>
      </c>
    </row>
    <row r="7" ht="18" customHeight="1" spans="1:10">
      <c r="A7" s="25" t="s">
        <v>116</v>
      </c>
      <c r="B7" s="13">
        <f t="shared" ref="B7:B9" si="0">G7/(1+C7+E7)</f>
        <v>642201.834862385</v>
      </c>
      <c r="C7" s="26">
        <v>0.02</v>
      </c>
      <c r="D7" s="27">
        <f t="shared" ref="D7:D9" si="1">G7/(1+E7+C7)*C7</f>
        <v>12844.0366972477</v>
      </c>
      <c r="E7" s="26">
        <v>0.07</v>
      </c>
      <c r="F7" s="13">
        <f t="shared" ref="F7:F9" si="2">G7/(1+C7+E7)*E7</f>
        <v>44954.128440367</v>
      </c>
      <c r="G7" s="28">
        <v>700000</v>
      </c>
      <c r="H7" s="25">
        <v>44118</v>
      </c>
      <c r="I7" s="13">
        <v>400000</v>
      </c>
      <c r="J7" s="56" t="s">
        <v>20</v>
      </c>
    </row>
    <row r="8" ht="18" customHeight="1" spans="1:10">
      <c r="A8" s="25"/>
      <c r="B8" s="13">
        <f t="shared" si="0"/>
        <v>0</v>
      </c>
      <c r="C8" s="29"/>
      <c r="D8" s="27">
        <f t="shared" si="1"/>
        <v>0</v>
      </c>
      <c r="E8" s="26"/>
      <c r="F8" s="13">
        <f t="shared" si="2"/>
        <v>0</v>
      </c>
      <c r="G8" s="28"/>
      <c r="H8" s="25">
        <v>44118</v>
      </c>
      <c r="I8" s="13">
        <v>300000</v>
      </c>
      <c r="J8" s="56" t="s">
        <v>20</v>
      </c>
    </row>
    <row r="9" ht="18" customHeight="1" spans="1:10">
      <c r="A9" s="25"/>
      <c r="B9" s="13">
        <f t="shared" si="0"/>
        <v>0</v>
      </c>
      <c r="C9" s="29"/>
      <c r="D9" s="27">
        <f t="shared" si="1"/>
        <v>0</v>
      </c>
      <c r="E9" s="26"/>
      <c r="F9" s="13">
        <f t="shared" si="2"/>
        <v>0</v>
      </c>
      <c r="G9" s="28"/>
      <c r="H9" s="25">
        <v>44230</v>
      </c>
      <c r="I9" s="13">
        <v>100000</v>
      </c>
      <c r="J9" s="56" t="s">
        <v>20</v>
      </c>
    </row>
    <row r="10" ht="18" customHeight="1" spans="1:10">
      <c r="A10" s="25"/>
      <c r="B10" s="13"/>
      <c r="C10" s="29"/>
      <c r="D10" s="27"/>
      <c r="E10" s="26"/>
      <c r="F10" s="13"/>
      <c r="G10" s="28"/>
      <c r="H10" s="25">
        <v>44230</v>
      </c>
      <c r="I10" s="13">
        <v>450000</v>
      </c>
      <c r="J10" s="56" t="s">
        <v>20</v>
      </c>
    </row>
    <row r="11" ht="18" customHeight="1" spans="1:10">
      <c r="A11" s="25"/>
      <c r="B11" s="13"/>
      <c r="C11" s="29"/>
      <c r="D11" s="27"/>
      <c r="E11" s="26"/>
      <c r="F11" s="13"/>
      <c r="G11" s="28"/>
      <c r="H11" s="25"/>
      <c r="I11" s="13"/>
      <c r="J11" s="56"/>
    </row>
    <row r="12" ht="18" customHeight="1" spans="1:10">
      <c r="A12" s="25"/>
      <c r="B12" s="13"/>
      <c r="C12" s="29"/>
      <c r="D12" s="27"/>
      <c r="E12" s="26"/>
      <c r="F12" s="13"/>
      <c r="G12" s="28"/>
      <c r="H12" s="25"/>
      <c r="I12" s="13"/>
      <c r="J12" s="56"/>
    </row>
    <row r="13" ht="18" customHeight="1" spans="1:10">
      <c r="A13" s="25"/>
      <c r="B13" s="13"/>
      <c r="C13" s="29"/>
      <c r="D13" s="27"/>
      <c r="E13" s="26"/>
      <c r="F13" s="13"/>
      <c r="G13" s="28"/>
      <c r="H13" s="25"/>
      <c r="I13" s="13"/>
      <c r="J13" s="56"/>
    </row>
    <row r="14" ht="18" customHeight="1" spans="1:10">
      <c r="A14" s="25"/>
      <c r="B14" s="13"/>
      <c r="C14" s="29"/>
      <c r="D14" s="27"/>
      <c r="E14" s="26"/>
      <c r="F14" s="13"/>
      <c r="G14" s="28"/>
      <c r="H14" s="25"/>
      <c r="I14" s="13"/>
      <c r="J14" s="56"/>
    </row>
    <row r="15" ht="18" customHeight="1" spans="1:10">
      <c r="A15" s="25"/>
      <c r="B15" s="13">
        <f>G15/(1+C15+E15)</f>
        <v>0</v>
      </c>
      <c r="C15" s="29"/>
      <c r="D15" s="27">
        <f>G15/(1+E15+C15)*C15</f>
        <v>0</v>
      </c>
      <c r="E15" s="26"/>
      <c r="F15" s="13">
        <f>G15/(1+C15+E15)*E15</f>
        <v>0</v>
      </c>
      <c r="G15" s="28"/>
      <c r="H15" s="25"/>
      <c r="I15" s="13"/>
      <c r="J15" s="56"/>
    </row>
    <row r="16" ht="18" customHeight="1" spans="1:10">
      <c r="A16" s="30" t="s">
        <v>22</v>
      </c>
      <c r="B16" s="31">
        <f>SUM(B7:B15)</f>
        <v>642201.834862385</v>
      </c>
      <c r="C16" s="32"/>
      <c r="D16" s="32">
        <f>SUM(D7:D15)</f>
        <v>12844.0366972477</v>
      </c>
      <c r="E16" s="32"/>
      <c r="F16" s="33">
        <f>SUM(F7:F15)</f>
        <v>44954.128440367</v>
      </c>
      <c r="G16" s="32">
        <f>SUM(G7:G15)</f>
        <v>700000</v>
      </c>
      <c r="H16" s="34"/>
      <c r="I16" s="32">
        <f>SUM(I7:I15)</f>
        <v>1250000</v>
      </c>
      <c r="J16" s="34"/>
    </row>
    <row r="17" ht="18" customHeight="1" spans="1:12">
      <c r="A17" s="2" t="s">
        <v>23</v>
      </c>
      <c r="J17" s="4"/>
      <c r="K17" s="4"/>
      <c r="L17" s="57"/>
    </row>
    <row r="18" ht="18" customHeight="1" spans="1:21">
      <c r="A18" s="35" t="s">
        <v>24</v>
      </c>
      <c r="B18" s="23" t="s">
        <v>25</v>
      </c>
      <c r="C18" s="22" t="s">
        <v>26</v>
      </c>
      <c r="D18" s="22" t="s">
        <v>27</v>
      </c>
      <c r="E18" s="22" t="s">
        <v>15</v>
      </c>
      <c r="F18" s="23" t="s">
        <v>28</v>
      </c>
      <c r="G18" s="23" t="s">
        <v>13</v>
      </c>
      <c r="H18" s="22" t="s">
        <v>29</v>
      </c>
      <c r="I18" s="23" t="s">
        <v>30</v>
      </c>
      <c r="J18" s="22" t="s">
        <v>19</v>
      </c>
      <c r="K18" s="58" t="s">
        <v>31</v>
      </c>
      <c r="L18" s="59" t="s">
        <v>32</v>
      </c>
      <c r="M18" s="24" t="s">
        <v>33</v>
      </c>
      <c r="N18" s="24" t="s">
        <v>34</v>
      </c>
      <c r="O18" s="24" t="s">
        <v>35</v>
      </c>
      <c r="P18" s="60"/>
      <c r="Q18" s="60"/>
      <c r="R18" s="60"/>
      <c r="S18" s="60"/>
      <c r="T18" s="60"/>
      <c r="U18" s="60"/>
    </row>
    <row r="19" s="1" customFormat="1" ht="18" customHeight="1" spans="1:15">
      <c r="A19" s="36">
        <v>44075</v>
      </c>
      <c r="B19" s="37">
        <f t="shared" ref="B19:B41" si="3">ROUND(G19/(1+E19),2)</f>
        <v>43564.36</v>
      </c>
      <c r="C19" s="38"/>
      <c r="D19" s="39" t="s">
        <v>108</v>
      </c>
      <c r="E19" s="40">
        <v>0.01</v>
      </c>
      <c r="F19" s="37">
        <f t="shared" ref="F19:F41" si="4">ROUND(G19/(1+E19)*E19,2)</f>
        <v>435.64</v>
      </c>
      <c r="G19" s="28">
        <v>44000</v>
      </c>
      <c r="H19" s="25"/>
      <c r="I19" s="13"/>
      <c r="J19" s="56"/>
      <c r="K19" s="61" t="s">
        <v>74</v>
      </c>
      <c r="L19" s="62" t="s">
        <v>110</v>
      </c>
      <c r="M19" s="63"/>
      <c r="N19" s="63"/>
      <c r="O19" s="64"/>
    </row>
    <row r="20" s="1" customFormat="1" ht="18" customHeight="1" spans="1:15">
      <c r="A20" s="36">
        <v>44075</v>
      </c>
      <c r="B20" s="37">
        <f t="shared" si="3"/>
        <v>31683.17</v>
      </c>
      <c r="C20" s="38"/>
      <c r="D20" s="39" t="s">
        <v>108</v>
      </c>
      <c r="E20" s="40">
        <v>0.01</v>
      </c>
      <c r="F20" s="37">
        <f t="shared" si="4"/>
        <v>316.83</v>
      </c>
      <c r="G20" s="28">
        <v>32000</v>
      </c>
      <c r="H20" s="25"/>
      <c r="I20" s="13"/>
      <c r="J20" s="56"/>
      <c r="K20" s="61" t="s">
        <v>74</v>
      </c>
      <c r="L20" s="62" t="s">
        <v>106</v>
      </c>
      <c r="M20" s="63"/>
      <c r="N20" s="63"/>
      <c r="O20" s="64"/>
    </row>
    <row r="21" s="1" customFormat="1" ht="18" customHeight="1" spans="1:15">
      <c r="A21" s="36">
        <v>44075</v>
      </c>
      <c r="B21" s="37">
        <f t="shared" si="3"/>
        <v>180198.02</v>
      </c>
      <c r="C21" s="38"/>
      <c r="D21" s="39" t="s">
        <v>108</v>
      </c>
      <c r="E21" s="41">
        <v>0.01</v>
      </c>
      <c r="F21" s="37">
        <f t="shared" si="4"/>
        <v>1801.98</v>
      </c>
      <c r="G21" s="28">
        <v>182000</v>
      </c>
      <c r="H21" s="25"/>
      <c r="I21" s="13"/>
      <c r="J21" s="56"/>
      <c r="K21" s="61" t="s">
        <v>82</v>
      </c>
      <c r="L21" s="62" t="s">
        <v>117</v>
      </c>
      <c r="M21" s="63"/>
      <c r="N21" s="63"/>
      <c r="O21" s="64"/>
    </row>
    <row r="22" s="1" customFormat="1" ht="18" customHeight="1" spans="1:15">
      <c r="A22" s="36">
        <v>44075</v>
      </c>
      <c r="B22" s="37">
        <f t="shared" si="3"/>
        <v>47212.39</v>
      </c>
      <c r="C22" s="38"/>
      <c r="D22" s="39" t="s">
        <v>108</v>
      </c>
      <c r="E22" s="41">
        <v>0.13</v>
      </c>
      <c r="F22" s="37">
        <f t="shared" si="4"/>
        <v>6137.61</v>
      </c>
      <c r="G22" s="28">
        <v>53350</v>
      </c>
      <c r="H22" s="25"/>
      <c r="I22" s="13"/>
      <c r="J22" s="56"/>
      <c r="K22" s="61" t="s">
        <v>72</v>
      </c>
      <c r="L22" s="62" t="s">
        <v>118</v>
      </c>
      <c r="M22" s="63"/>
      <c r="N22" s="63"/>
      <c r="O22" s="64"/>
    </row>
    <row r="23" s="1" customFormat="1" ht="18" customHeight="1" spans="1:15">
      <c r="A23" s="36">
        <v>44075</v>
      </c>
      <c r="B23" s="37">
        <f t="shared" si="3"/>
        <v>33897.35</v>
      </c>
      <c r="C23" s="38"/>
      <c r="D23" s="39" t="s">
        <v>108</v>
      </c>
      <c r="E23" s="41">
        <v>0.13</v>
      </c>
      <c r="F23" s="37">
        <f t="shared" si="4"/>
        <v>4406.65</v>
      </c>
      <c r="G23" s="28">
        <v>38304</v>
      </c>
      <c r="H23" s="25"/>
      <c r="I23" s="13"/>
      <c r="J23" s="56"/>
      <c r="K23" s="61" t="s">
        <v>72</v>
      </c>
      <c r="L23" s="62" t="s">
        <v>119</v>
      </c>
      <c r="M23" s="63"/>
      <c r="N23" s="63"/>
      <c r="O23" s="64"/>
    </row>
    <row r="24" s="1" customFormat="1" ht="18" customHeight="1" spans="1:15">
      <c r="A24" s="36">
        <v>44075</v>
      </c>
      <c r="B24" s="37">
        <f t="shared" si="3"/>
        <v>31929.2</v>
      </c>
      <c r="C24" s="38"/>
      <c r="D24" s="39" t="s">
        <v>108</v>
      </c>
      <c r="E24" s="41">
        <v>0.13</v>
      </c>
      <c r="F24" s="37">
        <f t="shared" si="4"/>
        <v>4150.8</v>
      </c>
      <c r="G24" s="28">
        <v>36080</v>
      </c>
      <c r="H24" s="25"/>
      <c r="I24" s="13"/>
      <c r="J24" s="56"/>
      <c r="K24" s="61" t="s">
        <v>72</v>
      </c>
      <c r="L24" s="62" t="s">
        <v>120</v>
      </c>
      <c r="M24" s="63"/>
      <c r="N24" s="63"/>
      <c r="O24" s="64"/>
    </row>
    <row r="25" s="1" customFormat="1" ht="18" customHeight="1" spans="1:15">
      <c r="A25" s="36">
        <v>44075</v>
      </c>
      <c r="B25" s="37">
        <f t="shared" si="3"/>
        <v>45889.38</v>
      </c>
      <c r="C25" s="38"/>
      <c r="D25" s="39" t="s">
        <v>108</v>
      </c>
      <c r="E25" s="41">
        <v>0.13</v>
      </c>
      <c r="F25" s="37">
        <f t="shared" si="4"/>
        <v>5965.62</v>
      </c>
      <c r="G25" s="28">
        <v>51855</v>
      </c>
      <c r="H25" s="25"/>
      <c r="I25" s="13"/>
      <c r="J25" s="56"/>
      <c r="K25" s="61" t="s">
        <v>72</v>
      </c>
      <c r="L25" s="62" t="s">
        <v>121</v>
      </c>
      <c r="M25" s="63"/>
      <c r="N25" s="63"/>
      <c r="O25" s="64"/>
    </row>
    <row r="26" s="1" customFormat="1" ht="18" customHeight="1" spans="1:15">
      <c r="A26" s="36">
        <v>44075</v>
      </c>
      <c r="B26" s="37">
        <f t="shared" si="3"/>
        <v>57913.27</v>
      </c>
      <c r="C26" s="38"/>
      <c r="D26" s="39" t="s">
        <v>108</v>
      </c>
      <c r="E26" s="41">
        <v>0.13</v>
      </c>
      <c r="F26" s="37">
        <f t="shared" si="4"/>
        <v>7528.73</v>
      </c>
      <c r="G26" s="28">
        <v>65442</v>
      </c>
      <c r="H26" s="25"/>
      <c r="I26" s="13"/>
      <c r="J26" s="56"/>
      <c r="K26" s="61" t="s">
        <v>72</v>
      </c>
      <c r="L26" s="62" t="s">
        <v>122</v>
      </c>
      <c r="M26" s="63"/>
      <c r="N26" s="63"/>
      <c r="O26" s="64"/>
    </row>
    <row r="27" s="1" customFormat="1" ht="18" customHeight="1" spans="1:15">
      <c r="A27" s="36">
        <v>44075</v>
      </c>
      <c r="B27" s="37">
        <f t="shared" si="3"/>
        <v>12201.77</v>
      </c>
      <c r="C27" s="38"/>
      <c r="D27" s="39" t="s">
        <v>108</v>
      </c>
      <c r="E27" s="41">
        <v>0.13</v>
      </c>
      <c r="F27" s="37">
        <f t="shared" si="4"/>
        <v>1586.23</v>
      </c>
      <c r="G27" s="28">
        <v>13788</v>
      </c>
      <c r="H27" s="25"/>
      <c r="I27" s="13"/>
      <c r="J27" s="56"/>
      <c r="K27" s="61" t="s">
        <v>72</v>
      </c>
      <c r="L27" s="62" t="s">
        <v>123</v>
      </c>
      <c r="M27" s="63"/>
      <c r="N27" s="63"/>
      <c r="O27" s="64"/>
    </row>
    <row r="28" s="1" customFormat="1" ht="18" customHeight="1" spans="1:15">
      <c r="A28" s="36">
        <v>44075</v>
      </c>
      <c r="B28" s="37">
        <f t="shared" si="3"/>
        <v>39823.01</v>
      </c>
      <c r="C28" s="38"/>
      <c r="D28" s="39" t="s">
        <v>108</v>
      </c>
      <c r="E28" s="41">
        <v>0.13</v>
      </c>
      <c r="F28" s="37">
        <f t="shared" si="4"/>
        <v>5176.99</v>
      </c>
      <c r="G28" s="28">
        <v>45000</v>
      </c>
      <c r="H28" s="25"/>
      <c r="I28" s="13"/>
      <c r="J28" s="56"/>
      <c r="K28" s="61" t="s">
        <v>124</v>
      </c>
      <c r="L28" s="62" t="s">
        <v>41</v>
      </c>
      <c r="M28" s="63"/>
      <c r="N28" s="63"/>
      <c r="O28" s="64"/>
    </row>
    <row r="29" s="1" customFormat="1" ht="18" customHeight="1" spans="1:15">
      <c r="A29" s="36"/>
      <c r="B29" s="37">
        <f t="shared" si="3"/>
        <v>0</v>
      </c>
      <c r="C29" s="38"/>
      <c r="D29" s="39"/>
      <c r="E29" s="41"/>
      <c r="F29" s="37">
        <f t="shared" si="4"/>
        <v>0</v>
      </c>
      <c r="G29" s="28"/>
      <c r="H29" s="25">
        <v>44134</v>
      </c>
      <c r="I29" s="37">
        <v>258819</v>
      </c>
      <c r="J29" s="63" t="s">
        <v>20</v>
      </c>
      <c r="K29" s="61" t="s">
        <v>72</v>
      </c>
      <c r="L29" s="62" t="s">
        <v>125</v>
      </c>
      <c r="M29" s="63"/>
      <c r="N29" s="63"/>
      <c r="O29" s="64"/>
    </row>
    <row r="30" s="1" customFormat="1" ht="18" customHeight="1" spans="1:15">
      <c r="A30" s="36"/>
      <c r="B30" s="37">
        <f t="shared" si="3"/>
        <v>0</v>
      </c>
      <c r="C30" s="38"/>
      <c r="D30" s="39"/>
      <c r="E30" s="41"/>
      <c r="F30" s="37">
        <f t="shared" si="4"/>
        <v>0</v>
      </c>
      <c r="G30" s="28"/>
      <c r="H30" s="25">
        <v>44134</v>
      </c>
      <c r="I30" s="37">
        <v>45000</v>
      </c>
      <c r="J30" s="63" t="s">
        <v>20</v>
      </c>
      <c r="K30" s="61" t="s">
        <v>124</v>
      </c>
      <c r="L30" s="62" t="s">
        <v>41</v>
      </c>
      <c r="M30" s="63"/>
      <c r="N30" s="63"/>
      <c r="O30" s="64"/>
    </row>
    <row r="31" s="1" customFormat="1" ht="18" customHeight="1" spans="1:15">
      <c r="A31" s="36"/>
      <c r="B31" s="37">
        <f t="shared" si="3"/>
        <v>0</v>
      </c>
      <c r="C31" s="38"/>
      <c r="D31" s="39"/>
      <c r="E31" s="41"/>
      <c r="F31" s="37">
        <f t="shared" si="4"/>
        <v>0</v>
      </c>
      <c r="G31" s="28"/>
      <c r="H31" s="25">
        <v>44134</v>
      </c>
      <c r="I31" s="37">
        <v>76000</v>
      </c>
      <c r="J31" s="63" t="s">
        <v>20</v>
      </c>
      <c r="K31" s="61" t="s">
        <v>74</v>
      </c>
      <c r="L31" s="62" t="s">
        <v>75</v>
      </c>
      <c r="M31" s="63"/>
      <c r="N31" s="63"/>
      <c r="O31" s="64"/>
    </row>
    <row r="32" s="1" customFormat="1" ht="18" customHeight="1" spans="1:15">
      <c r="A32" s="36"/>
      <c r="B32" s="37">
        <f t="shared" si="3"/>
        <v>0</v>
      </c>
      <c r="C32" s="38"/>
      <c r="D32" s="39"/>
      <c r="E32" s="41"/>
      <c r="F32" s="37">
        <f t="shared" si="4"/>
        <v>0</v>
      </c>
      <c r="G32" s="28"/>
      <c r="H32" s="25">
        <v>44134</v>
      </c>
      <c r="I32" s="37">
        <v>182000</v>
      </c>
      <c r="J32" s="63" t="s">
        <v>20</v>
      </c>
      <c r="K32" s="61" t="s">
        <v>82</v>
      </c>
      <c r="L32" s="62" t="s">
        <v>117</v>
      </c>
      <c r="M32" s="63"/>
      <c r="N32" s="63"/>
      <c r="O32" s="64"/>
    </row>
    <row r="33" s="1" customFormat="1" ht="18" customHeight="1" spans="1:15">
      <c r="A33" s="36">
        <v>44136</v>
      </c>
      <c r="B33" s="37">
        <f t="shared" si="3"/>
        <v>109421.5</v>
      </c>
      <c r="C33" s="38" t="s">
        <v>107</v>
      </c>
      <c r="D33" s="39" t="s">
        <v>37</v>
      </c>
      <c r="E33" s="41"/>
      <c r="F33" s="37">
        <f t="shared" si="4"/>
        <v>0</v>
      </c>
      <c r="G33" s="28">
        <v>109421.5</v>
      </c>
      <c r="H33" s="25"/>
      <c r="I33" s="37"/>
      <c r="J33" s="63"/>
      <c r="K33" s="61" t="s">
        <v>74</v>
      </c>
      <c r="L33" s="62" t="s">
        <v>81</v>
      </c>
      <c r="M33" s="63"/>
      <c r="N33" s="63"/>
      <c r="O33" s="64"/>
    </row>
    <row r="34" s="1" customFormat="1" ht="18" customHeight="1" spans="1:15">
      <c r="A34" s="36">
        <v>44136</v>
      </c>
      <c r="B34" s="37">
        <f t="shared" si="3"/>
        <v>115940</v>
      </c>
      <c r="C34" s="38" t="s">
        <v>107</v>
      </c>
      <c r="D34" s="39" t="s">
        <v>37</v>
      </c>
      <c r="E34" s="41"/>
      <c r="F34" s="37">
        <f t="shared" si="4"/>
        <v>0</v>
      </c>
      <c r="G34" s="28">
        <v>115940</v>
      </c>
      <c r="H34" s="25"/>
      <c r="I34" s="37"/>
      <c r="J34" s="63"/>
      <c r="K34" s="61" t="s">
        <v>74</v>
      </c>
      <c r="L34" s="62" t="s">
        <v>81</v>
      </c>
      <c r="M34" s="63"/>
      <c r="N34" s="63"/>
      <c r="O34" s="64"/>
    </row>
    <row r="35" s="1" customFormat="1" ht="18" customHeight="1" spans="1:15">
      <c r="A35" s="36">
        <v>44136</v>
      </c>
      <c r="B35" s="37">
        <f t="shared" si="3"/>
        <v>77065</v>
      </c>
      <c r="C35" s="38" t="s">
        <v>104</v>
      </c>
      <c r="D35" s="39" t="s">
        <v>37</v>
      </c>
      <c r="E35" s="41"/>
      <c r="F35" s="37">
        <f t="shared" si="4"/>
        <v>0</v>
      </c>
      <c r="G35" s="28">
        <v>77065</v>
      </c>
      <c r="H35" s="25"/>
      <c r="I35" s="37"/>
      <c r="J35" s="63"/>
      <c r="K35" s="61" t="s">
        <v>74</v>
      </c>
      <c r="L35" s="62" t="s">
        <v>126</v>
      </c>
      <c r="M35" s="63"/>
      <c r="N35" s="63"/>
      <c r="O35" s="64"/>
    </row>
    <row r="36" s="1" customFormat="1" ht="18" customHeight="1" spans="1:15">
      <c r="A36" s="36">
        <v>44136</v>
      </c>
      <c r="B36" s="37">
        <f t="shared" si="3"/>
        <v>58800</v>
      </c>
      <c r="C36" s="38" t="s">
        <v>104</v>
      </c>
      <c r="D36" s="39" t="s">
        <v>37</v>
      </c>
      <c r="E36" s="41"/>
      <c r="F36" s="37">
        <f t="shared" si="4"/>
        <v>0</v>
      </c>
      <c r="G36" s="28">
        <v>58800</v>
      </c>
      <c r="H36" s="25"/>
      <c r="I36" s="37"/>
      <c r="J36" s="63"/>
      <c r="K36" s="61" t="s">
        <v>82</v>
      </c>
      <c r="L36" s="62" t="s">
        <v>117</v>
      </c>
      <c r="M36" s="63"/>
      <c r="N36" s="63"/>
      <c r="O36" s="64"/>
    </row>
    <row r="37" s="1" customFormat="1" ht="18" customHeight="1" spans="1:15">
      <c r="A37" s="36">
        <v>44136</v>
      </c>
      <c r="B37" s="37">
        <f t="shared" si="3"/>
        <v>20481</v>
      </c>
      <c r="C37" s="38" t="s">
        <v>104</v>
      </c>
      <c r="D37" s="39" t="s">
        <v>37</v>
      </c>
      <c r="E37" s="41"/>
      <c r="F37" s="37">
        <f t="shared" si="4"/>
        <v>0</v>
      </c>
      <c r="G37" s="28">
        <v>20481</v>
      </c>
      <c r="H37" s="25"/>
      <c r="I37" s="37"/>
      <c r="J37" s="63"/>
      <c r="K37" s="61" t="s">
        <v>72</v>
      </c>
      <c r="L37" s="62" t="s">
        <v>127</v>
      </c>
      <c r="M37" s="63"/>
      <c r="N37" s="63"/>
      <c r="O37" s="64"/>
    </row>
    <row r="38" s="1" customFormat="1" ht="18" customHeight="1" spans="1:15">
      <c r="A38" s="36"/>
      <c r="B38" s="37">
        <f t="shared" si="3"/>
        <v>0</v>
      </c>
      <c r="C38" s="38"/>
      <c r="D38" s="39"/>
      <c r="E38" s="41"/>
      <c r="F38" s="37">
        <f t="shared" si="4"/>
        <v>0</v>
      </c>
      <c r="G38" s="28"/>
      <c r="H38" s="25">
        <v>44182</v>
      </c>
      <c r="I38" s="13">
        <v>109421.5</v>
      </c>
      <c r="J38" s="56" t="s">
        <v>20</v>
      </c>
      <c r="K38" s="65" t="s">
        <v>74</v>
      </c>
      <c r="L38" s="62" t="s">
        <v>81</v>
      </c>
      <c r="M38" s="63"/>
      <c r="N38" s="63"/>
      <c r="O38" s="64"/>
    </row>
    <row r="39" s="1" customFormat="1" ht="18" customHeight="1" spans="1:15">
      <c r="A39" s="36">
        <v>44197</v>
      </c>
      <c r="B39" s="37">
        <f t="shared" si="3"/>
        <v>232975.31</v>
      </c>
      <c r="C39" s="38" t="s">
        <v>128</v>
      </c>
      <c r="D39" s="39" t="s">
        <v>108</v>
      </c>
      <c r="E39" s="40">
        <v>0.13</v>
      </c>
      <c r="F39" s="37">
        <f t="shared" si="4"/>
        <v>30286.79</v>
      </c>
      <c r="G39" s="28">
        <v>263262.1</v>
      </c>
      <c r="H39" s="25"/>
      <c r="I39" s="13"/>
      <c r="J39" s="56"/>
      <c r="K39" s="61" t="s">
        <v>72</v>
      </c>
      <c r="L39" s="62" t="s">
        <v>129</v>
      </c>
      <c r="M39" s="63"/>
      <c r="N39" s="63"/>
      <c r="O39" s="64"/>
    </row>
    <row r="40" s="1" customFormat="1" ht="18" customHeight="1" spans="1:15">
      <c r="A40" s="36">
        <v>44197</v>
      </c>
      <c r="B40" s="37">
        <f t="shared" si="3"/>
        <v>267376.24</v>
      </c>
      <c r="C40" s="38" t="s">
        <v>130</v>
      </c>
      <c r="D40" s="39" t="s">
        <v>108</v>
      </c>
      <c r="E40" s="40">
        <v>0.01</v>
      </c>
      <c r="F40" s="37">
        <f t="shared" si="4"/>
        <v>2673.76</v>
      </c>
      <c r="G40" s="28">
        <v>270050</v>
      </c>
      <c r="H40" s="25"/>
      <c r="I40" s="13"/>
      <c r="J40" s="56"/>
      <c r="K40" s="65" t="s">
        <v>74</v>
      </c>
      <c r="L40" s="62" t="s">
        <v>81</v>
      </c>
      <c r="M40" s="63"/>
      <c r="N40" s="63"/>
      <c r="O40" s="64"/>
    </row>
    <row r="41" s="1" customFormat="1" ht="18" customHeight="1" spans="1:15">
      <c r="A41" s="36"/>
      <c r="B41" s="37">
        <f t="shared" si="3"/>
        <v>0</v>
      </c>
      <c r="C41" s="38"/>
      <c r="D41" s="39"/>
      <c r="E41" s="41"/>
      <c r="F41" s="37">
        <f t="shared" si="4"/>
        <v>0</v>
      </c>
      <c r="G41" s="28"/>
      <c r="H41" s="25">
        <v>44236</v>
      </c>
      <c r="I41" s="13">
        <v>263262.1</v>
      </c>
      <c r="J41" s="56" t="s">
        <v>20</v>
      </c>
      <c r="K41" s="65" t="s">
        <v>72</v>
      </c>
      <c r="L41" s="62" t="s">
        <v>129</v>
      </c>
      <c r="M41" s="63"/>
      <c r="N41" s="63"/>
      <c r="O41" s="64"/>
    </row>
    <row r="42" s="1" customFormat="1" ht="18" customHeight="1" spans="1:15">
      <c r="A42" s="36"/>
      <c r="B42" s="37"/>
      <c r="C42" s="38"/>
      <c r="D42" s="39"/>
      <c r="E42" s="41"/>
      <c r="F42" s="37"/>
      <c r="G42" s="28"/>
      <c r="H42" s="25">
        <v>44236</v>
      </c>
      <c r="I42" s="13">
        <v>270050</v>
      </c>
      <c r="J42" s="56" t="s">
        <v>20</v>
      </c>
      <c r="K42" s="65" t="s">
        <v>74</v>
      </c>
      <c r="L42" s="62" t="s">
        <v>81</v>
      </c>
      <c r="M42" s="63"/>
      <c r="N42" s="63"/>
      <c r="O42" s="64"/>
    </row>
    <row r="43" s="1" customFormat="1" ht="18" customHeight="1" spans="1:15">
      <c r="A43" s="36"/>
      <c r="B43" s="37"/>
      <c r="C43" s="38"/>
      <c r="D43" s="39"/>
      <c r="E43" s="41"/>
      <c r="F43" s="37"/>
      <c r="G43" s="28"/>
      <c r="H43" s="25"/>
      <c r="I43" s="13"/>
      <c r="J43" s="56"/>
      <c r="K43" s="65"/>
      <c r="L43" s="62"/>
      <c r="M43" s="63"/>
      <c r="N43" s="63"/>
      <c r="O43" s="64"/>
    </row>
    <row r="44" s="1" customFormat="1" ht="18" customHeight="1" spans="1:15">
      <c r="A44" s="36"/>
      <c r="B44" s="37"/>
      <c r="C44" s="38"/>
      <c r="D44" s="39"/>
      <c r="E44" s="41"/>
      <c r="F44" s="37"/>
      <c r="G44" s="28"/>
      <c r="H44" s="25"/>
      <c r="I44" s="13"/>
      <c r="J44" s="56"/>
      <c r="K44" s="65"/>
      <c r="L44" s="62"/>
      <c r="M44" s="63"/>
      <c r="N44" s="63"/>
      <c r="O44" s="64"/>
    </row>
    <row r="45" s="1" customFormat="1" ht="18" customHeight="1" spans="1:15">
      <c r="A45" s="36"/>
      <c r="B45" s="37"/>
      <c r="C45" s="38"/>
      <c r="D45" s="39"/>
      <c r="E45" s="41"/>
      <c r="F45" s="37"/>
      <c r="G45" s="28"/>
      <c r="H45" s="25"/>
      <c r="I45" s="13"/>
      <c r="J45" s="56"/>
      <c r="K45" s="65"/>
      <c r="L45" s="62"/>
      <c r="M45" s="63"/>
      <c r="N45" s="63"/>
      <c r="O45" s="64"/>
    </row>
    <row r="46" s="1" customFormat="1" ht="18" customHeight="1" spans="1:15">
      <c r="A46" s="36"/>
      <c r="B46" s="37"/>
      <c r="C46" s="38"/>
      <c r="D46" s="39"/>
      <c r="E46" s="41"/>
      <c r="F46" s="37"/>
      <c r="G46" s="28"/>
      <c r="H46" s="25"/>
      <c r="I46" s="13"/>
      <c r="J46" s="56"/>
      <c r="K46" s="65"/>
      <c r="L46" s="62"/>
      <c r="M46" s="63"/>
      <c r="N46" s="63"/>
      <c r="O46" s="64"/>
    </row>
    <row r="47" s="1" customFormat="1" ht="18" customHeight="1" spans="1:15">
      <c r="A47" s="36"/>
      <c r="B47" s="37">
        <f>ROUND(G47/(1+E47),2)</f>
        <v>0</v>
      </c>
      <c r="C47" s="38"/>
      <c r="D47" s="39"/>
      <c r="E47" s="41"/>
      <c r="F47" s="37">
        <f>ROUND(G47/(1+E47)*E47,2)</f>
        <v>0</v>
      </c>
      <c r="G47" s="28"/>
      <c r="H47" s="25"/>
      <c r="I47" s="13"/>
      <c r="J47" s="56"/>
      <c r="K47" s="65"/>
      <c r="L47" s="62"/>
      <c r="M47" s="63"/>
      <c r="N47" s="63"/>
      <c r="O47" s="64"/>
    </row>
    <row r="48" s="1" customFormat="1" ht="18" customHeight="1" spans="1:15">
      <c r="A48" s="36"/>
      <c r="B48" s="37">
        <f>ROUND(G48/(1+E48),2)</f>
        <v>0</v>
      </c>
      <c r="C48" s="38"/>
      <c r="D48" s="39"/>
      <c r="E48" s="41"/>
      <c r="F48" s="37">
        <f>ROUND(G48/(1+E48)*E48,2)</f>
        <v>0</v>
      </c>
      <c r="G48" s="28"/>
      <c r="H48" s="25"/>
      <c r="I48" s="37"/>
      <c r="J48" s="63"/>
      <c r="K48" s="61"/>
      <c r="L48" s="62"/>
      <c r="M48" s="63"/>
      <c r="N48" s="63"/>
      <c r="O48" s="64"/>
    </row>
    <row r="49" s="1" customFormat="1" ht="18" customHeight="1" spans="1:15">
      <c r="A49" s="36"/>
      <c r="B49" s="37">
        <f>ROUND(G49/(1+E49),2)</f>
        <v>0</v>
      </c>
      <c r="C49" s="38"/>
      <c r="D49" s="39"/>
      <c r="E49" s="41"/>
      <c r="F49" s="37">
        <f>ROUND(G49/(1+E49)*E49,2)</f>
        <v>0</v>
      </c>
      <c r="G49" s="28"/>
      <c r="H49" s="25"/>
      <c r="I49" s="37"/>
      <c r="J49" s="63"/>
      <c r="K49" s="61"/>
      <c r="L49" s="62"/>
      <c r="M49" s="63"/>
      <c r="N49" s="63"/>
      <c r="O49" s="64"/>
    </row>
    <row r="50" s="1" customFormat="1" ht="18" customHeight="1" spans="1:15">
      <c r="A50" s="36"/>
      <c r="B50" s="37">
        <f t="shared" ref="B50:B57" si="5">ROUND(G50/(1+E50),2)</f>
        <v>0</v>
      </c>
      <c r="C50" s="38"/>
      <c r="D50" s="39"/>
      <c r="E50" s="41"/>
      <c r="F50" s="37">
        <f>ROUND(G50/(1+E50)*E50,2)</f>
        <v>0</v>
      </c>
      <c r="G50" s="28"/>
      <c r="H50" s="25">
        <v>44232</v>
      </c>
      <c r="I50" s="13">
        <v>-33904.01</v>
      </c>
      <c r="J50" s="56" t="s">
        <v>46</v>
      </c>
      <c r="K50" s="61" t="s">
        <v>131</v>
      </c>
      <c r="L50" s="62"/>
      <c r="M50" s="63"/>
      <c r="N50" s="63"/>
      <c r="O50" s="64"/>
    </row>
    <row r="51" s="1" customFormat="1" ht="18" customHeight="1" spans="1:15">
      <c r="A51" s="36"/>
      <c r="B51" s="37">
        <f t="shared" si="5"/>
        <v>0</v>
      </c>
      <c r="C51" s="38"/>
      <c r="D51" s="39"/>
      <c r="E51" s="41"/>
      <c r="F51" s="37">
        <f t="shared" ref="F51:F53" si="6">ROUND(G51/(1+E51)*E51,2)</f>
        <v>0</v>
      </c>
      <c r="G51" s="28"/>
      <c r="H51" s="25" t="s">
        <v>92</v>
      </c>
      <c r="I51" s="13">
        <v>11301.34</v>
      </c>
      <c r="J51" s="56" t="s">
        <v>43</v>
      </c>
      <c r="K51" s="61" t="s">
        <v>132</v>
      </c>
      <c r="L51" s="62"/>
      <c r="M51" s="63"/>
      <c r="N51" s="63"/>
      <c r="O51" s="64"/>
    </row>
    <row r="52" s="1" customFormat="1" ht="18" customHeight="1" spans="1:15">
      <c r="A52" s="36"/>
      <c r="B52" s="37">
        <f t="shared" si="5"/>
        <v>0</v>
      </c>
      <c r="C52" s="38"/>
      <c r="D52" s="39"/>
      <c r="E52" s="41"/>
      <c r="F52" s="37">
        <f t="shared" si="6"/>
        <v>0</v>
      </c>
      <c r="G52" s="28"/>
      <c r="H52" s="25" t="s">
        <v>92</v>
      </c>
      <c r="I52" s="13">
        <v>22602.67</v>
      </c>
      <c r="J52" s="56" t="s">
        <v>43</v>
      </c>
      <c r="K52" s="61" t="s">
        <v>133</v>
      </c>
      <c r="L52" s="62"/>
      <c r="M52" s="63"/>
      <c r="N52" s="63"/>
      <c r="O52" s="64"/>
    </row>
    <row r="53" s="1" customFormat="1" ht="18" customHeight="1" spans="1:15">
      <c r="A53" s="36"/>
      <c r="B53" s="37">
        <f t="shared" si="5"/>
        <v>0</v>
      </c>
      <c r="C53" s="38"/>
      <c r="D53" s="39"/>
      <c r="E53" s="41"/>
      <c r="F53" s="37">
        <f t="shared" si="6"/>
        <v>0</v>
      </c>
      <c r="G53" s="28"/>
      <c r="H53" s="25">
        <v>44113</v>
      </c>
      <c r="I53" s="13">
        <v>22103.85</v>
      </c>
      <c r="J53" s="56" t="s">
        <v>43</v>
      </c>
      <c r="K53" s="61" t="s">
        <v>134</v>
      </c>
      <c r="L53" s="62"/>
      <c r="M53" s="63"/>
      <c r="N53" s="63"/>
      <c r="O53" s="64"/>
    </row>
    <row r="54" s="1" customFormat="1" ht="18" customHeight="1" spans="1:15">
      <c r="A54" s="36"/>
      <c r="B54" s="37">
        <f t="shared" si="5"/>
        <v>0</v>
      </c>
      <c r="C54" s="38"/>
      <c r="D54" s="39"/>
      <c r="E54" s="41"/>
      <c r="F54" s="37">
        <f t="shared" ref="F54:F57" si="7">ROUND(G54/(1+E54)*E54,2)</f>
        <v>0</v>
      </c>
      <c r="G54" s="28"/>
      <c r="H54" s="25">
        <v>44130</v>
      </c>
      <c r="I54" s="13">
        <v>-7000</v>
      </c>
      <c r="J54" s="56" t="s">
        <v>46</v>
      </c>
      <c r="K54" s="61" t="s">
        <v>135</v>
      </c>
      <c r="L54" s="62"/>
      <c r="M54" s="63"/>
      <c r="N54" s="63"/>
      <c r="O54" s="64"/>
    </row>
    <row r="55" s="1" customFormat="1" ht="18" customHeight="1" spans="1:15">
      <c r="A55" s="36"/>
      <c r="B55" s="37">
        <f t="shared" si="5"/>
        <v>0</v>
      </c>
      <c r="C55" s="38"/>
      <c r="D55" s="39"/>
      <c r="E55" s="41"/>
      <c r="F55" s="37">
        <f t="shared" si="7"/>
        <v>0</v>
      </c>
      <c r="G55" s="28"/>
      <c r="H55" s="25">
        <v>44125</v>
      </c>
      <c r="I55" s="13">
        <v>-14000</v>
      </c>
      <c r="J55" s="56" t="s">
        <v>46</v>
      </c>
      <c r="K55" s="61" t="s">
        <v>136</v>
      </c>
      <c r="L55" s="62"/>
      <c r="M55" s="63"/>
      <c r="N55" s="63"/>
      <c r="O55" s="64"/>
    </row>
    <row r="56" s="1" customFormat="1" ht="18" customHeight="1" spans="1:15">
      <c r="A56" s="36"/>
      <c r="B56" s="37">
        <f t="shared" si="5"/>
        <v>0</v>
      </c>
      <c r="C56" s="38"/>
      <c r="D56" s="39"/>
      <c r="E56" s="41"/>
      <c r="F56" s="37">
        <f t="shared" si="7"/>
        <v>0</v>
      </c>
      <c r="G56" s="28"/>
      <c r="H56" s="25" t="s">
        <v>45</v>
      </c>
      <c r="I56" s="13">
        <v>7000</v>
      </c>
      <c r="J56" s="56" t="s">
        <v>43</v>
      </c>
      <c r="K56" s="61" t="s">
        <v>137</v>
      </c>
      <c r="L56" s="62"/>
      <c r="M56" s="63"/>
      <c r="N56" s="63"/>
      <c r="O56" s="64"/>
    </row>
    <row r="57" s="1" customFormat="1" ht="18" customHeight="1" spans="1:15">
      <c r="A57" s="36"/>
      <c r="B57" s="37">
        <f t="shared" si="5"/>
        <v>14000</v>
      </c>
      <c r="C57" s="38"/>
      <c r="D57" s="39"/>
      <c r="E57" s="41"/>
      <c r="F57" s="37">
        <f t="shared" si="7"/>
        <v>0</v>
      </c>
      <c r="G57" s="28">
        <v>14000</v>
      </c>
      <c r="H57" s="25" t="s">
        <v>45</v>
      </c>
      <c r="I57" s="13">
        <v>14000</v>
      </c>
      <c r="J57" s="56" t="s">
        <v>43</v>
      </c>
      <c r="K57" s="61" t="s">
        <v>138</v>
      </c>
      <c r="L57" s="62"/>
      <c r="M57" s="63"/>
      <c r="N57" s="63"/>
      <c r="O57" s="64"/>
    </row>
    <row r="58" ht="18" customHeight="1" spans="1:15">
      <c r="A58" s="32" t="s">
        <v>22</v>
      </c>
      <c r="B58" s="31">
        <f>SUM(B19:B57)</f>
        <v>1420370.97</v>
      </c>
      <c r="C58" s="32"/>
      <c r="D58" s="42"/>
      <c r="E58" s="42"/>
      <c r="F58" s="33">
        <f>SUM(F19:F57)</f>
        <v>70467.63</v>
      </c>
      <c r="G58" s="43">
        <f>SUM(G19:G57)</f>
        <v>1490838.6</v>
      </c>
      <c r="H58" s="44"/>
      <c r="I58" s="32">
        <f>SUM(I19:I57)</f>
        <v>1226656.45</v>
      </c>
      <c r="J58" s="66"/>
      <c r="K58" s="42"/>
      <c r="L58" s="67"/>
      <c r="M58" s="56"/>
      <c r="N58" s="56"/>
      <c r="O58" s="34"/>
    </row>
    <row r="59" ht="18" customHeight="1" spans="1:14">
      <c r="A59" s="45" t="s">
        <v>51</v>
      </c>
      <c r="B59" s="46">
        <f>B16*0.96</f>
        <v>616513.76146789</v>
      </c>
      <c r="C59" s="45"/>
      <c r="D59" s="47"/>
      <c r="E59" s="47"/>
      <c r="F59" s="46"/>
      <c r="G59" s="46">
        <f>G16-G58</f>
        <v>-790838.6</v>
      </c>
      <c r="H59" s="24" t="s">
        <v>52</v>
      </c>
      <c r="I59" s="32">
        <f>I16-I58</f>
        <v>23343.5499999998</v>
      </c>
      <c r="J59" s="6"/>
      <c r="K59" s="68"/>
      <c r="M59" s="69"/>
      <c r="N59" s="69"/>
    </row>
    <row r="60" ht="18" customHeight="1" spans="1:14">
      <c r="A60" s="45" t="s">
        <v>53</v>
      </c>
      <c r="B60" s="46">
        <f>B59-B58</f>
        <v>-803857.20853211</v>
      </c>
      <c r="C60" s="45"/>
      <c r="D60" s="47"/>
      <c r="E60" s="47"/>
      <c r="F60" s="46"/>
      <c r="G60" s="46"/>
      <c r="H60" s="48"/>
      <c r="I60" s="46">
        <f>1490838.6-1476838.6</f>
        <v>14000</v>
      </c>
      <c r="J60" s="6"/>
      <c r="K60" s="68"/>
      <c r="M60" s="69"/>
      <c r="N60" s="69"/>
    </row>
    <row r="61" ht="18" customHeight="1" spans="1:3">
      <c r="A61" s="2" t="s">
        <v>54</v>
      </c>
      <c r="C61" s="2"/>
    </row>
    <row r="62" ht="18" customHeight="1" spans="1:6">
      <c r="A62" s="24" t="s">
        <v>55</v>
      </c>
      <c r="B62" s="23" t="s">
        <v>56</v>
      </c>
      <c r="C62" s="34"/>
      <c r="D62" s="24" t="s">
        <v>55</v>
      </c>
      <c r="E62" s="22" t="s">
        <v>15</v>
      </c>
      <c r="F62" s="23" t="s">
        <v>56</v>
      </c>
    </row>
    <row r="63" ht="18" customHeight="1" spans="1:6">
      <c r="A63" s="34" t="s">
        <v>58</v>
      </c>
      <c r="B63" s="19">
        <f>(B59-B58)*0.25</f>
        <v>-200964.302133027</v>
      </c>
      <c r="C63" s="34"/>
      <c r="D63" s="30" t="s">
        <v>59</v>
      </c>
      <c r="E63" s="24" t="s">
        <v>60</v>
      </c>
      <c r="F63" s="33">
        <f>F16-F58</f>
        <v>-25513.501559633</v>
      </c>
    </row>
    <row r="64" ht="18" customHeight="1" spans="1:6">
      <c r="A64" s="34" t="s">
        <v>61</v>
      </c>
      <c r="B64" s="49">
        <f>G7*0.0003</f>
        <v>210</v>
      </c>
      <c r="C64" s="34"/>
      <c r="D64" s="50" t="s">
        <v>62</v>
      </c>
      <c r="E64" s="15">
        <v>0.05</v>
      </c>
      <c r="F64" s="13">
        <f>F63*E64</f>
        <v>-1275.67507798165</v>
      </c>
    </row>
    <row r="65" ht="18" customHeight="1" spans="1:6">
      <c r="A65" s="34" t="s">
        <v>63</v>
      </c>
      <c r="B65" s="49">
        <f>B16*0.0006</f>
        <v>385.321100917431</v>
      </c>
      <c r="C65" s="34"/>
      <c r="D65" s="50" t="s">
        <v>64</v>
      </c>
      <c r="E65" s="15">
        <v>0.03</v>
      </c>
      <c r="F65" s="13">
        <f>F63*E65</f>
        <v>-765.40504678899</v>
      </c>
    </row>
    <row r="66" ht="18" customHeight="1" spans="1:6">
      <c r="A66" s="34"/>
      <c r="B66" s="70"/>
      <c r="C66" s="34"/>
      <c r="D66" s="50" t="s">
        <v>65</v>
      </c>
      <c r="E66" s="15">
        <v>0.02</v>
      </c>
      <c r="F66" s="13">
        <f>F63*E66</f>
        <v>-510.27003119266</v>
      </c>
    </row>
    <row r="67" ht="18" customHeight="1" spans="1:6">
      <c r="A67" s="30" t="s">
        <v>66</v>
      </c>
      <c r="B67" s="71">
        <f>SUM(B63:B66)</f>
        <v>-200368.98103211</v>
      </c>
      <c r="C67" s="34"/>
      <c r="D67" s="35" t="s">
        <v>66</v>
      </c>
      <c r="E67" s="30"/>
      <c r="F67" s="33">
        <f>SUM(F63:F66)</f>
        <v>-28064.8517155963</v>
      </c>
    </row>
    <row r="68" ht="18" customHeight="1" spans="3:6">
      <c r="C68" s="2"/>
      <c r="D68" s="13" t="s">
        <v>61</v>
      </c>
      <c r="E68" s="65">
        <v>0.0003</v>
      </c>
      <c r="F68" s="13">
        <f>G16*E68</f>
        <v>210</v>
      </c>
    </row>
    <row r="69" ht="18" customHeight="1" spans="3:6">
      <c r="C69" s="2"/>
      <c r="D69" s="13" t="s">
        <v>63</v>
      </c>
      <c r="E69" s="65">
        <v>0.0006</v>
      </c>
      <c r="F69" s="13">
        <f>B16*E69</f>
        <v>385.321100917431</v>
      </c>
    </row>
    <row r="70" ht="18" customHeight="1" spans="3:6">
      <c r="C70" s="2"/>
      <c r="D70" s="22" t="s">
        <v>66</v>
      </c>
      <c r="E70" s="42"/>
      <c r="F70" s="32">
        <f>F69+F68</f>
        <v>595.321100917431</v>
      </c>
    </row>
    <row r="71" ht="18" customHeight="1" spans="3:6">
      <c r="C71" s="2"/>
      <c r="D71" s="22" t="s">
        <v>22</v>
      </c>
      <c r="E71" s="32"/>
      <c r="F71" s="32">
        <f>F67+F70</f>
        <v>-27469.5306146789</v>
      </c>
    </row>
    <row r="72" ht="18" customHeight="1" spans="3:6">
      <c r="C72" s="2"/>
      <c r="D72" s="32" t="s">
        <v>58</v>
      </c>
      <c r="E72" s="42">
        <v>0.01</v>
      </c>
      <c r="F72" s="32">
        <f>B16*E72</f>
        <v>6422.01834862385</v>
      </c>
    </row>
    <row r="73" ht="18" customHeight="1" spans="3:6">
      <c r="C73" s="2"/>
      <c r="F73" s="3">
        <f>G19+G20+G40</f>
        <v>346050</v>
      </c>
    </row>
    <row r="74" ht="18" customHeight="1" spans="3:6">
      <c r="C74" s="2"/>
      <c r="F74" s="3">
        <f>G33+G34+G35</f>
        <v>302426.5</v>
      </c>
    </row>
    <row r="75" ht="18" customHeight="1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</sheetData>
  <autoFilter ref="A18:O7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东至县张溪镇</vt:lpstr>
      <vt:lpstr>葛公镇仙寓山</vt:lpstr>
      <vt:lpstr>东至县胜利镇</vt:lpstr>
      <vt:lpstr>人才公寓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2021-05-20T02:14:35Z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E226DA958B0F40F6B4D1916813941D4C</vt:lpwstr>
  </property>
</Properties>
</file>