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2020年省道320线K0+000-K85+000段公路安全生" sheetId="1" r:id="rId1"/>
    <sheet name="新" sheetId="2" r:id="rId2"/>
  </sheets>
  <definedNames>
    <definedName name="_xlnm._FilterDatabase" localSheetId="1" hidden="1">新!$A$13:$R$32</definedName>
    <definedName name="_xlnm._FilterDatabase" localSheetId="0" hidden="1">'2020年省道320线K0+000-K85+000段公路安全生'!$A$13:$R$85</definedName>
  </definedNames>
  <calcPr calcId="144525" concurrentCalc="0"/>
</workbook>
</file>

<file path=xl/comments1.xml><?xml version="1.0" encoding="utf-8"?>
<comments xmlns="http://schemas.openxmlformats.org/spreadsheetml/2006/main">
  <authors>
    <author>cw09</author>
    <author>cw05</author>
  </authors>
  <commentList>
    <comment ref="G8" authorId="0">
      <text>
        <r>
          <rPr>
            <sz val="9"/>
            <rFont val="宋体"/>
            <charset val="134"/>
          </rPr>
          <t>cw09:
封城 ，完税证明暂时开不了，解封再开</t>
        </r>
      </text>
    </comment>
    <comment ref="K35" authorId="0">
      <text>
        <r>
          <rPr>
            <sz val="9"/>
            <rFont val="宋体"/>
            <charset val="134"/>
          </rPr>
          <t xml:space="preserve">cw09:
吴总扣 </t>
        </r>
      </text>
    </comment>
    <comment ref="K37" authorId="0">
      <text>
        <r>
          <rPr>
            <sz val="9"/>
            <rFont val="宋体"/>
            <charset val="134"/>
          </rPr>
          <t xml:space="preserve">cw09:
吴总扣 </t>
        </r>
      </text>
    </comment>
    <comment ref="K43" authorId="0">
      <text>
        <r>
          <rPr>
            <sz val="9"/>
            <rFont val="宋体"/>
            <charset val="134"/>
          </rPr>
          <t>cw09:
疫情封城，成本发票暂未提供</t>
        </r>
      </text>
    </comment>
    <comment ref="K50" authorId="0">
      <text>
        <r>
          <rPr>
            <sz val="9"/>
            <rFont val="宋体"/>
            <charset val="134"/>
          </rPr>
          <t>cw09:
疫情封城 吴总同意退 2020.9.16</t>
        </r>
      </text>
    </comment>
    <comment ref="K55" authorId="0">
      <text>
        <r>
          <rPr>
            <sz val="9"/>
            <rFont val="宋体"/>
            <charset val="134"/>
          </rPr>
          <t>cw09:
疫情封城，成本发票暂未提供</t>
        </r>
      </text>
    </comment>
    <comment ref="K56" authorId="0">
      <text>
        <r>
          <rPr>
            <sz val="9"/>
            <rFont val="宋体"/>
            <charset val="134"/>
          </rPr>
          <t>cw09:
疫情封城，完税证明解封后补缴，税款先暂扣</t>
        </r>
      </text>
    </comment>
    <comment ref="K59" authorId="0">
      <text>
        <r>
          <rPr>
            <sz val="9"/>
            <rFont val="宋体"/>
            <charset val="134"/>
          </rPr>
          <t>cw09:
由于新疆疫情封城，成本发票暂未提供</t>
        </r>
      </text>
    </comment>
    <comment ref="A7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G8" authorId="0">
      <text>
        <r>
          <rPr>
            <sz val="9"/>
            <rFont val="宋体"/>
            <charset val="134"/>
          </rPr>
          <t>cw09:
封城 ，完税证明暂时开不了，解封再开</t>
        </r>
      </text>
    </comment>
    <comment ref="L30" authorId="1">
      <text>
        <r>
          <rPr>
            <b/>
            <sz val="9"/>
            <rFont val="宋体"/>
            <charset val="134"/>
          </rPr>
          <t>cw05:未提供成本票</t>
        </r>
      </text>
    </comment>
    <comment ref="L32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未提供成本票</t>
        </r>
      </text>
    </comment>
    <comment ref="K45" authorId="0">
      <text>
        <r>
          <rPr>
            <sz val="9"/>
            <rFont val="宋体"/>
            <charset val="134"/>
          </rPr>
          <t xml:space="preserve">cw09:
吴总扣 </t>
        </r>
      </text>
    </comment>
    <comment ref="K47" authorId="0">
      <text>
        <r>
          <rPr>
            <sz val="9"/>
            <rFont val="宋体"/>
            <charset val="134"/>
          </rPr>
          <t xml:space="preserve">cw09:
吴总扣 </t>
        </r>
      </text>
    </comment>
    <comment ref="K53" authorId="0">
      <text>
        <r>
          <rPr>
            <sz val="9"/>
            <rFont val="宋体"/>
            <charset val="134"/>
          </rPr>
          <t>cw09:
疫情封城，成本发票暂未提供</t>
        </r>
      </text>
    </comment>
    <comment ref="K60" authorId="0">
      <text>
        <r>
          <rPr>
            <sz val="9"/>
            <rFont val="宋体"/>
            <charset val="134"/>
          </rPr>
          <t>cw09:
疫情封城 吴总同意退 2020.9.16</t>
        </r>
      </text>
    </comment>
    <comment ref="K65" authorId="0">
      <text>
        <r>
          <rPr>
            <sz val="9"/>
            <rFont val="宋体"/>
            <charset val="134"/>
          </rPr>
          <t>cw09:
疫情封城，成本发票暂未提供</t>
        </r>
      </text>
    </comment>
    <comment ref="K66" authorId="0">
      <text>
        <r>
          <rPr>
            <sz val="9"/>
            <rFont val="宋体"/>
            <charset val="134"/>
          </rPr>
          <t>cw09:
疫情封城，完税证明解封后补缴，税款先暂扣</t>
        </r>
      </text>
    </comment>
    <comment ref="K69" authorId="0">
      <text>
        <r>
          <rPr>
            <sz val="9"/>
            <rFont val="宋体"/>
            <charset val="134"/>
          </rPr>
          <t>cw09:
由于新疆疫情封城，成本发票暂未提供</t>
        </r>
      </text>
    </comment>
    <comment ref="A8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<sst xmlns="http://schemas.openxmlformats.org/spreadsheetml/2006/main" count="500" uniqueCount="112">
  <si>
    <t>2020年省道320线K0+000-K85+000段公路安全生命防护工程等 7 个项目（ALTGL-2）</t>
  </si>
  <si>
    <t>中标日期</t>
  </si>
  <si>
    <t>中标价</t>
  </si>
  <si>
    <t>负责人</t>
  </si>
  <si>
    <t>张云峰</t>
  </si>
  <si>
    <t>建设单位</t>
  </si>
  <si>
    <t>阿勒泰公路管理局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</si>
  <si>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</si>
  <si>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</si>
  <si>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</si>
  <si>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</si>
  <si>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</si>
  <si>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</si>
  <si>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</si>
  <si>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</si>
  <si>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</si>
  <si>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</si>
  <si>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</si>
  <si>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</si>
  <si>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</si>
  <si>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</si>
  <si>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</si>
  <si>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 xml:space="preserve">  </t>
  </si>
  <si>
    <t>合计</t>
  </si>
  <si>
    <t xml:space="preserve"> 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</si>
  <si>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</si>
  <si>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</si>
  <si>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</si>
  <si>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</si>
  <si>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</si>
  <si>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</si>
  <si>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</si>
  <si>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</si>
  <si>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</si>
  <si>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</si>
  <si>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</si>
  <si>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</si>
  <si>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</si>
  <si>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</si>
  <si>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 xml:space="preserve">中行 </t>
  </si>
  <si>
    <t>聊城卓远交通设施有限公司</t>
  </si>
  <si>
    <t>立柱（798），金属配件，钢丝绳（29729），</t>
  </si>
  <si>
    <t>2020-447#，合同总金额760226元</t>
  </si>
  <si>
    <t>2020-447#，合同总金额760226元 2020-553#</t>
  </si>
  <si>
    <t>石河子白杨预拌砼有限责任公司海川分公司</t>
  </si>
  <si>
    <t>商混款</t>
  </si>
  <si>
    <t>2020-458 金额242320元</t>
  </si>
  <si>
    <t>原合同对方没有盖总公司章，版本也与钉钉最终版不一致</t>
  </si>
  <si>
    <t>新疆奕翔交通工程有限公司</t>
  </si>
  <si>
    <t>建筑服务</t>
  </si>
  <si>
    <t>2020-525#  753386.62元</t>
  </si>
  <si>
    <t>乌鲁木齐科欣捷尔交通设施有限公司</t>
  </si>
  <si>
    <t>反光膜</t>
  </si>
  <si>
    <t>2020-515#</t>
  </si>
  <si>
    <t>乌鲁木齐市鼎恒全贸易有限责任公司</t>
  </si>
  <si>
    <t>金属制品</t>
  </si>
  <si>
    <t>2020-444#</t>
  </si>
  <si>
    <t>新疆汇丰隆环保科技有限公司</t>
  </si>
  <si>
    <t>铝板</t>
  </si>
  <si>
    <t>2020-459#</t>
  </si>
  <si>
    <t>护栏</t>
  </si>
  <si>
    <t>徽行</t>
  </si>
  <si>
    <t>收周转金</t>
  </si>
  <si>
    <t>质保金</t>
  </si>
  <si>
    <t xml:space="preserve">以工资表农民工个人账户为准 </t>
  </si>
  <si>
    <t>4次</t>
  </si>
  <si>
    <t>扣</t>
  </si>
  <si>
    <t>代扣个人所得税</t>
  </si>
  <si>
    <t>5个点代开票</t>
  </si>
  <si>
    <t>财务手续费</t>
  </si>
  <si>
    <t>印花水利（2020.12月开票）</t>
  </si>
  <si>
    <t>企税（1%）（2020.12月开票）</t>
  </si>
  <si>
    <t>2020.12月异地预缴税金（2020.12月开票）</t>
  </si>
  <si>
    <t xml:space="preserve">管理费（1%) </t>
  </si>
  <si>
    <t>3次</t>
  </si>
  <si>
    <t>暂扣</t>
  </si>
  <si>
    <t>企税（成本不够暂扣）</t>
  </si>
  <si>
    <t>印花水利</t>
  </si>
  <si>
    <t>企税（1%）</t>
  </si>
  <si>
    <t>管理费（1%)</t>
  </si>
  <si>
    <t>2次</t>
  </si>
  <si>
    <t>退</t>
  </si>
  <si>
    <t>之前因疫情原因暂扣的异地预缴税款</t>
  </si>
  <si>
    <t>退增值税及附加（2020.8月开票）</t>
  </si>
  <si>
    <t>前期暂扣企税（已全退）</t>
  </si>
  <si>
    <t>异地未预缴部分增值税及附加（20.8月开票）</t>
  </si>
  <si>
    <t>2020-8-</t>
  </si>
  <si>
    <t>增值税及附加（2020.8月开票）</t>
  </si>
  <si>
    <t>1次</t>
  </si>
  <si>
    <t>应提供成本</t>
  </si>
  <si>
    <t>可支付金额</t>
  </si>
  <si>
    <t>尚需提供成本</t>
  </si>
  <si>
    <t>公司代缴税金：</t>
  </si>
  <si>
    <t>税种</t>
  </si>
  <si>
    <t>税额</t>
  </si>
  <si>
    <t>2020.7开票扣税</t>
  </si>
  <si>
    <t>2020.8月开票扣税</t>
  </si>
  <si>
    <t>发票已收退2020.8月开票扣税</t>
  </si>
  <si>
    <t>2020.11月开票扣税</t>
  </si>
  <si>
    <t>2020.12月异地预缴税金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</si>
  <si>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</si>
  <si>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</si>
  <si>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</si>
  <si>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</si>
  <si>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</si>
  <si>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</si>
  <si>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</si>
  <si>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</si>
  <si>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</si>
  <si>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异地未预缴部分（20.8月开票）</t>
  </si>
  <si>
    <t>完税证明已收退2020.8月开票暂扣的异地预缴税款</t>
  </si>
  <si>
    <t>企税（成本不够）</t>
  </si>
</sst>
</file>

<file path=xl/styles.xml><?xml version="1.0" encoding="utf-8"?>
<styleSheet xmlns="http://schemas.openxmlformats.org/spreadsheetml/2006/main">
  <numFmts count="10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#,##0.00_ "/>
    <numFmt numFmtId="179" formatCode="yyyy&quot;年&quot;m&quot;月&quot;;@"/>
    <numFmt numFmtId="180" formatCode="#,##0_ "/>
    <numFmt numFmtId="181" formatCode="#,##0.0000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name val="Tahoma"/>
      <charset val="134"/>
    </font>
    <font>
      <sz val="9"/>
      <name val="宋体"/>
      <charset val="134"/>
    </font>
    <font>
      <sz val="9"/>
      <color rgb="FF00B05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43" fontId="5" fillId="0" borderId="0" xfId="8" applyFont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9" fontId="1" fillId="0" borderId="2" xfId="11" applyNumberFormat="1" applyFont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7" fontId="2" fillId="0" borderId="4" xfId="0" applyNumberFormat="1" applyFont="1" applyBorder="1" applyAlignment="1">
      <alignment horizontal="center" vertical="center"/>
    </xf>
    <xf numFmtId="178" fontId="2" fillId="2" borderId="3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9" fontId="2" fillId="3" borderId="2" xfId="0" applyNumberFormat="1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vertical="center"/>
    </xf>
    <xf numFmtId="180" fontId="2" fillId="3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9" fontId="2" fillId="3" borderId="2" xfId="11" applyNumberFormat="1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vertical="center"/>
    </xf>
    <xf numFmtId="178" fontId="3" fillId="0" borderId="2" xfId="0" applyNumberFormat="1" applyFont="1" applyBorder="1" applyAlignment="1">
      <alignment vertical="center"/>
    </xf>
    <xf numFmtId="178" fontId="3" fillId="2" borderId="3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5" borderId="2" xfId="11" applyNumberFormat="1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6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8" fontId="8" fillId="0" borderId="2" xfId="0" applyNumberFormat="1" applyFont="1" applyBorder="1"/>
    <xf numFmtId="0" fontId="9" fillId="0" borderId="2" xfId="0" applyFont="1" applyBorder="1"/>
    <xf numFmtId="0" fontId="2" fillId="0" borderId="8" xfId="0" applyFont="1" applyBorder="1"/>
    <xf numFmtId="178" fontId="2" fillId="0" borderId="2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3" fillId="0" borderId="2" xfId="0" applyFont="1" applyBorder="1"/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9" fontId="2" fillId="5" borderId="2" xfId="1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vertical="center"/>
    </xf>
    <xf numFmtId="178" fontId="7" fillId="0" borderId="7" xfId="0" applyNumberFormat="1" applyFont="1" applyBorder="1" applyAlignment="1">
      <alignment vertical="center"/>
    </xf>
    <xf numFmtId="181" fontId="1" fillId="0" borderId="2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178" fontId="7" fillId="4" borderId="3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 wrapText="1"/>
    </xf>
    <xf numFmtId="178" fontId="7" fillId="4" borderId="4" xfId="0" applyNumberFormat="1" applyFont="1" applyFill="1" applyBorder="1" applyAlignment="1">
      <alignment vertical="center"/>
    </xf>
    <xf numFmtId="176" fontId="1" fillId="0" borderId="3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8" fontId="1" fillId="0" borderId="8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horizontal="center" vertical="center" wrapText="1"/>
    </xf>
    <xf numFmtId="176" fontId="7" fillId="4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7" fillId="4" borderId="4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3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2" borderId="3" xfId="0" applyNumberFormat="1" applyFont="1" applyFill="1" applyBorder="1" applyAlignment="1">
      <alignment vertical="center"/>
    </xf>
    <xf numFmtId="176" fontId="2" fillId="3" borderId="2" xfId="0" applyNumberFormat="1" applyFont="1" applyFill="1" applyBorder="1" applyAlignment="1">
      <alignment vertical="center"/>
    </xf>
    <xf numFmtId="176" fontId="2" fillId="3" borderId="3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2" borderId="3" xfId="0" applyNumberFormat="1" applyFont="1" applyFill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3" fillId="0" borderId="0" xfId="0" applyFont="1"/>
    <xf numFmtId="0" fontId="8" fillId="0" borderId="2" xfId="0" applyFont="1" applyBorder="1"/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8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7" fillId="4" borderId="3" xfId="0" applyNumberFormat="1" applyFont="1" applyFill="1" applyBorder="1" applyAlignment="1">
      <alignment vertical="center"/>
    </xf>
    <xf numFmtId="176" fontId="1" fillId="0" borderId="8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123825</xdr:colOff>
      <xdr:row>25</xdr:row>
      <xdr:rowOff>24130</xdr:rowOff>
    </xdr:from>
    <xdr:to>
      <xdr:col>14</xdr:col>
      <xdr:colOff>238125</xdr:colOff>
      <xdr:row>25</xdr:row>
      <xdr:rowOff>100330</xdr:rowOff>
    </xdr:to>
    <xdr:pic>
      <xdr:nvPicPr>
        <xdr:cNvPr id="2" name="图片 1" descr="HI9HN($`%HF7[JQ4L)P(Y7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14695170" y="5789295"/>
          <a:ext cx="114300" cy="76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26</xdr:row>
      <xdr:rowOff>47625</xdr:rowOff>
    </xdr:from>
    <xdr:to>
      <xdr:col>14</xdr:col>
      <xdr:colOff>296545</xdr:colOff>
      <xdr:row>26</xdr:row>
      <xdr:rowOff>123825</xdr:rowOff>
    </xdr:to>
    <xdr:pic>
      <xdr:nvPicPr>
        <xdr:cNvPr id="3" name="图片 2" descr="VMNV3]6)(9~N8KY%SK9HE4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742795" y="6041390"/>
          <a:ext cx="125095" cy="762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285750</xdr:colOff>
      <xdr:row>10</xdr:row>
      <xdr:rowOff>57150</xdr:rowOff>
    </xdr:from>
    <xdr:to>
      <xdr:col>10</xdr:col>
      <xdr:colOff>479425</xdr:colOff>
      <xdr:row>10</xdr:row>
      <xdr:rowOff>193675</xdr:rowOff>
    </xdr:to>
    <xdr:pic>
      <xdr:nvPicPr>
        <xdr:cNvPr id="4" name="图片 3" descr="PY2K{3WO6)~2Z$IGMX3@O)W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80550" y="2393315"/>
          <a:ext cx="193675" cy="136525"/>
        </a:xfrm>
        <a:prstGeom prst="rect">
          <a:avLst/>
        </a:prstGeom>
      </xdr:spPr>
    </xdr:pic>
    <xdr:clientData/>
  </xdr:twoCellAnchor>
  <xdr:twoCellAnchor editAs="oneCell">
    <xdr:from>
      <xdr:col>10</xdr:col>
      <xdr:colOff>919480</xdr:colOff>
      <xdr:row>10</xdr:row>
      <xdr:rowOff>100330</xdr:rowOff>
    </xdr:from>
    <xdr:to>
      <xdr:col>10</xdr:col>
      <xdr:colOff>1414780</xdr:colOff>
      <xdr:row>10</xdr:row>
      <xdr:rowOff>176530</xdr:rowOff>
    </xdr:to>
    <xdr:pic>
      <xdr:nvPicPr>
        <xdr:cNvPr id="5" name="图片 4" descr="OC8A2`82O`PX7Q4Y9UMA6E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14280" y="2436495"/>
          <a:ext cx="495300" cy="76200"/>
        </a:xfrm>
        <a:prstGeom prst="rect">
          <a:avLst/>
        </a:prstGeom>
      </xdr:spPr>
    </xdr:pic>
    <xdr:clientData/>
  </xdr:twoCellAnchor>
  <xdr:twoCellAnchor editAs="oneCell">
    <xdr:from>
      <xdr:col>10</xdr:col>
      <xdr:colOff>919480</xdr:colOff>
      <xdr:row>10</xdr:row>
      <xdr:rowOff>113030</xdr:rowOff>
    </xdr:from>
    <xdr:to>
      <xdr:col>10</xdr:col>
      <xdr:colOff>1918970</xdr:colOff>
      <xdr:row>10</xdr:row>
      <xdr:rowOff>189230</xdr:rowOff>
    </xdr:to>
    <xdr:pic>
      <xdr:nvPicPr>
        <xdr:cNvPr id="6" name="图片 5" descr="XVN([N@BW5IBKWZDTMJ@VH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114280" y="2449195"/>
          <a:ext cx="999490" cy="76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10</xdr:row>
      <xdr:rowOff>85725</xdr:rowOff>
    </xdr:from>
    <xdr:to>
      <xdr:col>11</xdr:col>
      <xdr:colOff>339090</xdr:colOff>
      <xdr:row>10</xdr:row>
      <xdr:rowOff>161925</xdr:rowOff>
    </xdr:to>
    <xdr:pic>
      <xdr:nvPicPr>
        <xdr:cNvPr id="7" name="图片 6" descr="J9KHLI}}L9I91F9ZQMM8L5K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313160" y="2421890"/>
          <a:ext cx="224790" cy="7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123825</xdr:colOff>
      <xdr:row>25</xdr:row>
      <xdr:rowOff>24130</xdr:rowOff>
    </xdr:from>
    <xdr:to>
      <xdr:col>14</xdr:col>
      <xdr:colOff>238125</xdr:colOff>
      <xdr:row>25</xdr:row>
      <xdr:rowOff>100330</xdr:rowOff>
    </xdr:to>
    <xdr:pic>
      <xdr:nvPicPr>
        <xdr:cNvPr id="2" name="图片 1" descr="HI9HN($`%HF7[JQ4L)P(Y7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16186150" y="5789295"/>
          <a:ext cx="114300" cy="76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26</xdr:row>
      <xdr:rowOff>47625</xdr:rowOff>
    </xdr:from>
    <xdr:to>
      <xdr:col>14</xdr:col>
      <xdr:colOff>296545</xdr:colOff>
      <xdr:row>26</xdr:row>
      <xdr:rowOff>123825</xdr:rowOff>
    </xdr:to>
    <xdr:pic>
      <xdr:nvPicPr>
        <xdr:cNvPr id="3" name="图片 2" descr="VMNV3]6)(9~N8KY%SK9HE4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233775" y="6041390"/>
          <a:ext cx="125095" cy="762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285750</xdr:colOff>
      <xdr:row>10</xdr:row>
      <xdr:rowOff>57150</xdr:rowOff>
    </xdr:from>
    <xdr:to>
      <xdr:col>10</xdr:col>
      <xdr:colOff>479425</xdr:colOff>
      <xdr:row>10</xdr:row>
      <xdr:rowOff>193675</xdr:rowOff>
    </xdr:to>
    <xdr:pic>
      <xdr:nvPicPr>
        <xdr:cNvPr id="4" name="图片 3" descr="PY2K{3WO6)~2Z$IGMX3@O)W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27870" y="2393315"/>
          <a:ext cx="193675" cy="136525"/>
        </a:xfrm>
        <a:prstGeom prst="rect">
          <a:avLst/>
        </a:prstGeom>
      </xdr:spPr>
    </xdr:pic>
    <xdr:clientData/>
  </xdr:twoCellAnchor>
  <xdr:twoCellAnchor editAs="oneCell">
    <xdr:from>
      <xdr:col>10</xdr:col>
      <xdr:colOff>919480</xdr:colOff>
      <xdr:row>10</xdr:row>
      <xdr:rowOff>100330</xdr:rowOff>
    </xdr:from>
    <xdr:to>
      <xdr:col>10</xdr:col>
      <xdr:colOff>1414780</xdr:colOff>
      <xdr:row>10</xdr:row>
      <xdr:rowOff>176530</xdr:rowOff>
    </xdr:to>
    <xdr:pic>
      <xdr:nvPicPr>
        <xdr:cNvPr id="5" name="图片 4" descr="OC8A2`82O`PX7Q4Y9UMA6E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61600" y="2436495"/>
          <a:ext cx="495300" cy="76200"/>
        </a:xfrm>
        <a:prstGeom prst="rect">
          <a:avLst/>
        </a:prstGeom>
      </xdr:spPr>
    </xdr:pic>
    <xdr:clientData/>
  </xdr:twoCellAnchor>
  <xdr:twoCellAnchor editAs="oneCell">
    <xdr:from>
      <xdr:col>10</xdr:col>
      <xdr:colOff>919480</xdr:colOff>
      <xdr:row>10</xdr:row>
      <xdr:rowOff>113030</xdr:rowOff>
    </xdr:from>
    <xdr:to>
      <xdr:col>11</xdr:col>
      <xdr:colOff>4445</xdr:colOff>
      <xdr:row>10</xdr:row>
      <xdr:rowOff>189230</xdr:rowOff>
    </xdr:to>
    <xdr:pic>
      <xdr:nvPicPr>
        <xdr:cNvPr id="6" name="图片 5" descr="XVN([N@BW5IBKWZDTMJ@VH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61600" y="2449195"/>
          <a:ext cx="999490" cy="76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10</xdr:row>
      <xdr:rowOff>85725</xdr:rowOff>
    </xdr:from>
    <xdr:to>
      <xdr:col>11</xdr:col>
      <xdr:colOff>339090</xdr:colOff>
      <xdr:row>10</xdr:row>
      <xdr:rowOff>161925</xdr:rowOff>
    </xdr:to>
    <xdr:pic>
      <xdr:nvPicPr>
        <xdr:cNvPr id="7" name="图片 6" descr="J9KHLI}}L9I91F9ZQMM8L5K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370945" y="2421890"/>
          <a:ext cx="224790" cy="7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4"/>
  <sheetViews>
    <sheetView topLeftCell="A13" workbookViewId="0">
      <selection activeCell="A13" sqref="$A1:$XFD1048576"/>
    </sheetView>
  </sheetViews>
  <sheetFormatPr defaultColWidth="9" defaultRowHeight="11.25"/>
  <cols>
    <col min="1" max="1" width="12.0666666666667" style="4" customWidth="1"/>
    <col min="2" max="2" width="12.0666666666667" style="5" customWidth="1"/>
    <col min="3" max="5" width="12.0666666666667" style="6" customWidth="1"/>
    <col min="6" max="7" width="12.0666666666667" style="5" customWidth="1"/>
    <col min="8" max="8" width="12.0666666666667" style="6" customWidth="1"/>
    <col min="9" max="9" width="12.0666666666667" style="5" customWidth="1"/>
    <col min="10" max="10" width="12.0666666666667" style="7" customWidth="1"/>
    <col min="11" max="11" width="26.3" style="1" customWidth="1"/>
    <col min="12" max="12" width="12.0666666666667" style="1" customWidth="1"/>
    <col min="13" max="13" width="20.125" style="1" customWidth="1"/>
    <col min="14" max="15" width="12.0666666666667" style="1" customWidth="1"/>
    <col min="16" max="16384" width="9" style="1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ht="18" customHeight="1" spans="1:12">
      <c r="A2" s="10" t="s">
        <v>1</v>
      </c>
      <c r="B2" s="11">
        <v>43979</v>
      </c>
      <c r="C2" s="12" t="s">
        <v>2</v>
      </c>
      <c r="D2" s="13">
        <v>3212388.23</v>
      </c>
      <c r="E2" s="14" t="s">
        <v>3</v>
      </c>
      <c r="F2" s="15" t="s">
        <v>4</v>
      </c>
      <c r="G2" s="16" t="s">
        <v>5</v>
      </c>
      <c r="H2" s="17" t="s">
        <v>6</v>
      </c>
      <c r="I2" s="58"/>
      <c r="J2" s="59"/>
      <c r="K2" s="19"/>
      <c r="L2" s="19"/>
    </row>
    <row r="3" ht="18" customHeight="1" spans="1:12">
      <c r="A3" s="10" t="s">
        <v>7</v>
      </c>
      <c r="B3" s="18"/>
      <c r="C3" s="12" t="s">
        <v>8</v>
      </c>
      <c r="D3" s="12"/>
      <c r="H3" s="19"/>
      <c r="I3" s="60"/>
      <c r="J3" s="19"/>
      <c r="K3" s="19"/>
      <c r="L3" s="19"/>
    </row>
    <row r="4" ht="18" customHeight="1" spans="1:12">
      <c r="A4" s="4" t="s">
        <v>9</v>
      </c>
      <c r="H4" s="19"/>
      <c r="I4" s="60"/>
      <c r="J4" s="19"/>
      <c r="K4" s="19"/>
      <c r="L4" s="19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4">
      <c r="A7" s="23">
        <v>44036</v>
      </c>
      <c r="B7" s="116">
        <f t="shared" ref="B7:B10" si="0">G7/(1+C7+E7)</f>
        <v>294714.513761468</v>
      </c>
      <c r="C7" s="24">
        <v>0.02</v>
      </c>
      <c r="D7" s="118">
        <f t="shared" ref="D7:D10" si="1">G7/(1+E7+C7)*C7</f>
        <v>5894.29027522936</v>
      </c>
      <c r="E7" s="26">
        <v>0.07</v>
      </c>
      <c r="F7" s="116">
        <f t="shared" ref="F7:F10" si="2">G7/(1+C7+E7)*E7</f>
        <v>20630.0159633028</v>
      </c>
      <c r="G7" s="119">
        <v>321238.82</v>
      </c>
      <c r="H7" s="23">
        <v>44041</v>
      </c>
      <c r="I7" s="116">
        <v>321238.82</v>
      </c>
      <c r="J7" s="61" t="s">
        <v>21</v>
      </c>
      <c r="N7" s="1" t="s">
        <v>22</v>
      </c>
    </row>
    <row r="8" ht="18" customHeight="1" spans="1:10">
      <c r="A8" s="23">
        <v>44046</v>
      </c>
      <c r="B8" s="116">
        <f t="shared" si="0"/>
        <v>1473572.58715596</v>
      </c>
      <c r="C8" s="24">
        <v>0.02</v>
      </c>
      <c r="D8" s="118">
        <f t="shared" si="1"/>
        <v>29471.4517431193</v>
      </c>
      <c r="E8" s="26">
        <v>0.07</v>
      </c>
      <c r="F8" s="116">
        <f t="shared" si="2"/>
        <v>103150.081100917</v>
      </c>
      <c r="G8" s="119">
        <v>1606194.12</v>
      </c>
      <c r="H8" s="23">
        <v>44056</v>
      </c>
      <c r="I8" s="116">
        <v>1606194.12</v>
      </c>
      <c r="J8" s="61" t="s">
        <v>21</v>
      </c>
    </row>
    <row r="9" ht="18" customHeight="1" spans="1:10">
      <c r="A9" s="23">
        <v>44153</v>
      </c>
      <c r="B9" s="116">
        <f t="shared" si="0"/>
        <v>1178858.06422018</v>
      </c>
      <c r="C9" s="24">
        <v>0.02</v>
      </c>
      <c r="D9" s="118">
        <f t="shared" si="1"/>
        <v>23577.1612844037</v>
      </c>
      <c r="E9" s="26">
        <v>0.07</v>
      </c>
      <c r="F9" s="116">
        <f t="shared" si="2"/>
        <v>82520.0644954129</v>
      </c>
      <c r="G9" s="119">
        <v>1284955.29</v>
      </c>
      <c r="H9" s="23">
        <v>44153</v>
      </c>
      <c r="I9" s="116">
        <v>1284955.29</v>
      </c>
      <c r="J9" s="61" t="s">
        <v>21</v>
      </c>
    </row>
    <row r="10" ht="18" customHeight="1" spans="1:10">
      <c r="A10" s="23">
        <v>44174</v>
      </c>
      <c r="B10" s="116">
        <f t="shared" si="0"/>
        <v>71307.3394495413</v>
      </c>
      <c r="C10" s="26">
        <v>0.02</v>
      </c>
      <c r="D10" s="118">
        <f t="shared" si="1"/>
        <v>1426.14678899083</v>
      </c>
      <c r="E10" s="26">
        <v>0.07</v>
      </c>
      <c r="F10" s="116">
        <f t="shared" si="2"/>
        <v>4991.51376146789</v>
      </c>
      <c r="G10" s="119">
        <v>77725</v>
      </c>
      <c r="H10" s="23">
        <v>44187</v>
      </c>
      <c r="I10" s="116">
        <v>77725</v>
      </c>
      <c r="J10" s="61" t="s">
        <v>21</v>
      </c>
    </row>
    <row r="11" ht="18" customHeight="1" spans="1:11">
      <c r="A11" s="28" t="s">
        <v>23</v>
      </c>
      <c r="B11" s="120">
        <f t="shared" ref="B11:G11" si="3">SUM(B7:B10)</f>
        <v>3018452.50458715</v>
      </c>
      <c r="C11" s="30"/>
      <c r="D11" s="121">
        <f t="shared" si="3"/>
        <v>60369.0500917432</v>
      </c>
      <c r="E11" s="30"/>
      <c r="F11" s="115">
        <f t="shared" si="3"/>
        <v>211291.675321101</v>
      </c>
      <c r="G11" s="121">
        <f t="shared" si="3"/>
        <v>3290113.23</v>
      </c>
      <c r="H11" s="32"/>
      <c r="I11" s="121">
        <f>SUM(I7:I10)</f>
        <v>3290113.23</v>
      </c>
      <c r="J11" s="32"/>
      <c r="K11" s="1" t="s">
        <v>24</v>
      </c>
    </row>
    <row r="12" ht="18" customHeight="1" spans="1:12">
      <c r="A12" s="4" t="s">
        <v>25</v>
      </c>
      <c r="J12" s="6"/>
      <c r="K12" s="6"/>
      <c r="L12" s="7"/>
    </row>
    <row r="13" ht="18" customHeight="1" spans="1:15">
      <c r="A13" s="33" t="s">
        <v>26</v>
      </c>
      <c r="B13" s="21" t="s">
        <v>27</v>
      </c>
      <c r="C13" s="20" t="s">
        <v>28</v>
      </c>
      <c r="D13" s="20" t="s">
        <v>29</v>
      </c>
      <c r="E13" s="20" t="s">
        <v>16</v>
      </c>
      <c r="F13" s="21" t="s">
        <v>30</v>
      </c>
      <c r="G13" s="21" t="s">
        <v>14</v>
      </c>
      <c r="H13" s="20" t="s">
        <v>31</v>
      </c>
      <c r="I13" s="21" t="s">
        <v>32</v>
      </c>
      <c r="J13" s="20" t="s">
        <v>20</v>
      </c>
      <c r="K13" s="62" t="s">
        <v>33</v>
      </c>
      <c r="L13" s="22" t="s">
        <v>34</v>
      </c>
      <c r="M13" s="22" t="s">
        <v>35</v>
      </c>
      <c r="N13" s="22" t="s">
        <v>36</v>
      </c>
      <c r="O13" s="22" t="s">
        <v>37</v>
      </c>
    </row>
    <row r="14" s="2" customFormat="1" ht="18" customHeight="1" spans="1:18">
      <c r="A14" s="34">
        <v>44032</v>
      </c>
      <c r="B14" s="18">
        <f t="shared" ref="B14:B38" si="4">ROUND(G14/(1+E14),2)</f>
        <v>606282.3</v>
      </c>
      <c r="C14" s="36">
        <v>7</v>
      </c>
      <c r="D14" s="37" t="s">
        <v>38</v>
      </c>
      <c r="E14" s="38">
        <v>0.13</v>
      </c>
      <c r="F14" s="122">
        <f t="shared" ref="F14:F26" si="5">ROUND(G14/(1+E14)*E14,2)</f>
        <v>78816.7</v>
      </c>
      <c r="G14" s="119">
        <v>685099</v>
      </c>
      <c r="H14" s="40">
        <v>44042</v>
      </c>
      <c r="I14" s="128">
        <v>314539.04</v>
      </c>
      <c r="J14" s="64" t="s">
        <v>39</v>
      </c>
      <c r="K14" s="65" t="s">
        <v>40</v>
      </c>
      <c r="L14" s="66" t="s">
        <v>41</v>
      </c>
      <c r="M14" s="67" t="s">
        <v>42</v>
      </c>
      <c r="N14" s="67"/>
      <c r="O14" s="68"/>
      <c r="R14" s="2" t="s">
        <v>22</v>
      </c>
    </row>
    <row r="15" s="2" customFormat="1" ht="18" customHeight="1" spans="1:15">
      <c r="A15" s="34">
        <v>44063</v>
      </c>
      <c r="B15" s="18">
        <f t="shared" si="4"/>
        <v>120787.43</v>
      </c>
      <c r="C15" s="36">
        <v>2</v>
      </c>
      <c r="D15" s="37" t="s">
        <v>38</v>
      </c>
      <c r="E15" s="38">
        <v>0.13</v>
      </c>
      <c r="F15" s="122">
        <f t="shared" si="5"/>
        <v>15702.37</v>
      </c>
      <c r="G15" s="123">
        <f>75127+61362.8</f>
        <v>136489.8</v>
      </c>
      <c r="H15" s="42">
        <v>44062</v>
      </c>
      <c r="I15" s="18">
        <v>370559.96</v>
      </c>
      <c r="J15" s="67" t="s">
        <v>39</v>
      </c>
      <c r="K15" s="69" t="s">
        <v>40</v>
      </c>
      <c r="L15" s="66"/>
      <c r="M15" s="67" t="s">
        <v>43</v>
      </c>
      <c r="N15" s="67"/>
      <c r="O15" s="68" t="s">
        <v>24</v>
      </c>
    </row>
    <row r="16" s="3" customFormat="1" ht="18" customHeight="1" spans="1:15">
      <c r="A16" s="43">
        <v>44063</v>
      </c>
      <c r="B16" s="124">
        <f t="shared" si="4"/>
        <v>138834.95</v>
      </c>
      <c r="C16" s="45">
        <v>6</v>
      </c>
      <c r="D16" s="46" t="s">
        <v>38</v>
      </c>
      <c r="E16" s="47">
        <v>0.03</v>
      </c>
      <c r="F16" s="124">
        <f t="shared" si="5"/>
        <v>4165.05</v>
      </c>
      <c r="G16" s="125">
        <v>143000</v>
      </c>
      <c r="H16" s="42">
        <v>44064</v>
      </c>
      <c r="I16" s="18">
        <v>143000</v>
      </c>
      <c r="J16" s="67" t="s">
        <v>39</v>
      </c>
      <c r="K16" s="69" t="s">
        <v>44</v>
      </c>
      <c r="L16" s="70" t="s">
        <v>45</v>
      </c>
      <c r="M16" s="77" t="s">
        <v>46</v>
      </c>
      <c r="N16" s="88"/>
      <c r="O16" s="129" t="s">
        <v>47</v>
      </c>
    </row>
    <row r="17" s="3" customFormat="1" ht="18" customHeight="1" spans="1:15">
      <c r="A17" s="34">
        <v>44063</v>
      </c>
      <c r="B17" s="18">
        <f t="shared" si="4"/>
        <v>605504.59</v>
      </c>
      <c r="C17" s="36">
        <v>7</v>
      </c>
      <c r="D17" s="37" t="s">
        <v>38</v>
      </c>
      <c r="E17" s="38">
        <v>0.09</v>
      </c>
      <c r="F17" s="122">
        <f t="shared" si="5"/>
        <v>54495.41</v>
      </c>
      <c r="G17" s="123">
        <f>600000+60000</f>
        <v>660000</v>
      </c>
      <c r="H17" s="42">
        <v>44067</v>
      </c>
      <c r="I17" s="18">
        <v>600000</v>
      </c>
      <c r="J17" s="67" t="s">
        <v>39</v>
      </c>
      <c r="K17" s="69" t="s">
        <v>48</v>
      </c>
      <c r="L17" s="70" t="s">
        <v>49</v>
      </c>
      <c r="M17" s="77" t="s">
        <v>50</v>
      </c>
      <c r="N17" s="88"/>
      <c r="O17" s="89"/>
    </row>
    <row r="18" s="2" customFormat="1" ht="18" customHeight="1" spans="1:15">
      <c r="A18" s="34">
        <v>44063</v>
      </c>
      <c r="B18" s="18">
        <f t="shared" si="4"/>
        <v>37988.94</v>
      </c>
      <c r="C18" s="36">
        <v>1</v>
      </c>
      <c r="D18" s="37" t="s">
        <v>38</v>
      </c>
      <c r="E18" s="38">
        <v>0.13</v>
      </c>
      <c r="F18" s="122">
        <f t="shared" si="5"/>
        <v>4938.56</v>
      </c>
      <c r="G18" s="123">
        <f>42927.5</f>
        <v>42927.5</v>
      </c>
      <c r="H18" s="42"/>
      <c r="I18" s="130"/>
      <c r="J18" s="67"/>
      <c r="K18" s="73" t="s">
        <v>51</v>
      </c>
      <c r="L18" s="70" t="s">
        <v>52</v>
      </c>
      <c r="M18" s="77" t="s">
        <v>53</v>
      </c>
      <c r="N18" s="67"/>
      <c r="O18" s="68"/>
    </row>
    <row r="19" s="2" customFormat="1" ht="18" customHeight="1" spans="1:15">
      <c r="A19" s="34">
        <v>44094</v>
      </c>
      <c r="B19" s="18">
        <f t="shared" si="4"/>
        <v>10112.12</v>
      </c>
      <c r="C19" s="36">
        <v>1</v>
      </c>
      <c r="D19" s="37" t="s">
        <v>38</v>
      </c>
      <c r="E19" s="38">
        <v>0.13</v>
      </c>
      <c r="F19" s="122">
        <f t="shared" si="5"/>
        <v>1314.58</v>
      </c>
      <c r="G19" s="123">
        <v>11426.7</v>
      </c>
      <c r="H19" s="42"/>
      <c r="I19" s="18"/>
      <c r="J19" s="67"/>
      <c r="K19" s="73" t="s">
        <v>51</v>
      </c>
      <c r="L19" s="70" t="s">
        <v>52</v>
      </c>
      <c r="M19" s="77" t="s">
        <v>53</v>
      </c>
      <c r="N19" s="67"/>
      <c r="O19" s="68"/>
    </row>
    <row r="20" s="2" customFormat="1" ht="18" customHeight="1" spans="1:15">
      <c r="A20" s="34">
        <v>44094</v>
      </c>
      <c r="B20" s="18">
        <f t="shared" si="4"/>
        <v>316996.02</v>
      </c>
      <c r="C20" s="36">
        <v>4</v>
      </c>
      <c r="D20" s="37" t="s">
        <v>38</v>
      </c>
      <c r="E20" s="38">
        <v>0.13</v>
      </c>
      <c r="F20" s="122">
        <f t="shared" si="5"/>
        <v>41209.48</v>
      </c>
      <c r="G20" s="123">
        <f>107559.4+103597.35+85792.5+61256.25</f>
        <v>358205.5</v>
      </c>
      <c r="H20" s="42"/>
      <c r="I20" s="130"/>
      <c r="J20" s="67"/>
      <c r="K20" s="73" t="s">
        <v>54</v>
      </c>
      <c r="L20" s="70" t="s">
        <v>55</v>
      </c>
      <c r="M20" s="77" t="s">
        <v>56</v>
      </c>
      <c r="N20" s="67"/>
      <c r="O20" s="68"/>
    </row>
    <row r="21" s="2" customFormat="1" ht="18" customHeight="1" spans="1:15">
      <c r="A21" s="34">
        <v>44094</v>
      </c>
      <c r="B21" s="18">
        <f t="shared" si="4"/>
        <v>52083.44</v>
      </c>
      <c r="C21" s="36">
        <v>1</v>
      </c>
      <c r="D21" s="37" t="s">
        <v>38</v>
      </c>
      <c r="E21" s="38">
        <v>0.13</v>
      </c>
      <c r="F21" s="122">
        <f t="shared" si="5"/>
        <v>6770.85</v>
      </c>
      <c r="G21" s="123">
        <v>58854.29</v>
      </c>
      <c r="H21" s="42">
        <v>44088</v>
      </c>
      <c r="I21" s="18">
        <v>58854.29</v>
      </c>
      <c r="J21" s="67" t="s">
        <v>39</v>
      </c>
      <c r="K21" s="69" t="s">
        <v>57</v>
      </c>
      <c r="L21" s="70" t="s">
        <v>58</v>
      </c>
      <c r="M21" s="77" t="s">
        <v>59</v>
      </c>
      <c r="N21" s="67"/>
      <c r="O21" s="68"/>
    </row>
    <row r="22" s="2" customFormat="1" ht="18" customHeight="1" spans="1:15">
      <c r="A22" s="34">
        <v>44155</v>
      </c>
      <c r="B22" s="18">
        <f t="shared" si="4"/>
        <v>85675.8</v>
      </c>
      <c r="C22" s="36">
        <v>1</v>
      </c>
      <c r="D22" s="37" t="s">
        <v>38</v>
      </c>
      <c r="E22" s="38">
        <v>0.09</v>
      </c>
      <c r="F22" s="122">
        <f t="shared" si="5"/>
        <v>7710.82</v>
      </c>
      <c r="G22" s="123">
        <v>93386.62</v>
      </c>
      <c r="H22" s="42"/>
      <c r="I22" s="18"/>
      <c r="J22" s="67"/>
      <c r="K22" s="69" t="s">
        <v>48</v>
      </c>
      <c r="L22" s="70" t="s">
        <v>49</v>
      </c>
      <c r="M22" s="77" t="s">
        <v>50</v>
      </c>
      <c r="N22" s="67"/>
      <c r="O22" s="89"/>
    </row>
    <row r="23" s="2" customFormat="1" ht="18" customHeight="1" spans="1:15">
      <c r="A23" s="34"/>
      <c r="B23" s="18">
        <f t="shared" si="4"/>
        <v>0</v>
      </c>
      <c r="C23" s="36"/>
      <c r="D23" s="37"/>
      <c r="E23" s="38"/>
      <c r="F23" s="122">
        <f t="shared" si="5"/>
        <v>0</v>
      </c>
      <c r="G23" s="123"/>
      <c r="H23" s="42">
        <v>44095</v>
      </c>
      <c r="I23" s="18">
        <v>54354.2</v>
      </c>
      <c r="J23" s="67" t="s">
        <v>39</v>
      </c>
      <c r="K23" s="73" t="s">
        <v>51</v>
      </c>
      <c r="L23" s="70" t="s">
        <v>52</v>
      </c>
      <c r="M23" s="77"/>
      <c r="N23" s="67"/>
      <c r="O23" s="68"/>
    </row>
    <row r="24" s="2" customFormat="1" ht="18" customHeight="1" spans="1:15">
      <c r="A24" s="34"/>
      <c r="B24" s="18">
        <f t="shared" si="4"/>
        <v>0</v>
      </c>
      <c r="C24" s="36"/>
      <c r="D24" s="37"/>
      <c r="E24" s="38"/>
      <c r="F24" s="122">
        <f t="shared" si="5"/>
        <v>0</v>
      </c>
      <c r="G24" s="123"/>
      <c r="H24" s="42">
        <v>44095</v>
      </c>
      <c r="I24" s="18">
        <v>170205.5</v>
      </c>
      <c r="J24" s="67" t="s">
        <v>39</v>
      </c>
      <c r="K24" s="73" t="s">
        <v>54</v>
      </c>
      <c r="L24" s="70" t="s">
        <v>55</v>
      </c>
      <c r="M24" s="77"/>
      <c r="N24" s="67"/>
      <c r="O24" s="68"/>
    </row>
    <row r="25" s="2" customFormat="1" ht="18" customHeight="1" spans="1:15">
      <c r="A25" s="34"/>
      <c r="B25" s="18">
        <f t="shared" si="4"/>
        <v>0</v>
      </c>
      <c r="C25" s="36"/>
      <c r="D25" s="37"/>
      <c r="E25" s="38"/>
      <c r="F25" s="122">
        <v>0</v>
      </c>
      <c r="G25" s="123"/>
      <c r="H25" s="42">
        <v>44095</v>
      </c>
      <c r="I25" s="18">
        <v>136489.8</v>
      </c>
      <c r="J25" s="67" t="s">
        <v>39</v>
      </c>
      <c r="K25" s="69" t="s">
        <v>40</v>
      </c>
      <c r="L25" s="70" t="s">
        <v>60</v>
      </c>
      <c r="M25" s="77"/>
      <c r="N25" s="67"/>
      <c r="O25" s="68"/>
    </row>
    <row r="26" s="2" customFormat="1" ht="18" customHeight="1" spans="1:15">
      <c r="A26" s="34"/>
      <c r="B26" s="18">
        <f t="shared" si="4"/>
        <v>0</v>
      </c>
      <c r="C26" s="36"/>
      <c r="D26" s="37"/>
      <c r="E26" s="38"/>
      <c r="F26" s="122">
        <v>0</v>
      </c>
      <c r="G26" s="123"/>
      <c r="H26" s="42">
        <v>44152</v>
      </c>
      <c r="I26" s="18">
        <v>-60000</v>
      </c>
      <c r="J26" s="67" t="s">
        <v>61</v>
      </c>
      <c r="K26" s="69" t="s">
        <v>62</v>
      </c>
      <c r="L26" s="70"/>
      <c r="M26" s="77"/>
      <c r="N26" s="67"/>
      <c r="O26" s="68"/>
    </row>
    <row r="27" s="2" customFormat="1" ht="18" customHeight="1" spans="1:15">
      <c r="A27" s="34"/>
      <c r="B27" s="18"/>
      <c r="C27" s="36"/>
      <c r="D27" s="37"/>
      <c r="E27" s="38" t="s">
        <v>22</v>
      </c>
      <c r="F27" s="122">
        <v>0</v>
      </c>
      <c r="G27" s="123"/>
      <c r="H27" s="42">
        <v>44153</v>
      </c>
      <c r="I27" s="18">
        <v>96371.65</v>
      </c>
      <c r="J27" s="67" t="s">
        <v>39</v>
      </c>
      <c r="K27" s="69" t="s">
        <v>6</v>
      </c>
      <c r="L27" s="70" t="s">
        <v>63</v>
      </c>
      <c r="M27" s="77"/>
      <c r="N27" s="67"/>
      <c r="O27" s="68"/>
    </row>
    <row r="28" s="2" customFormat="1" ht="18" customHeight="1" spans="1:15">
      <c r="A28" s="34"/>
      <c r="B28" s="18">
        <f t="shared" si="4"/>
        <v>0</v>
      </c>
      <c r="C28" s="36"/>
      <c r="D28" s="37"/>
      <c r="E28" s="38"/>
      <c r="F28" s="122">
        <v>0</v>
      </c>
      <c r="G28" s="123"/>
      <c r="H28" s="42">
        <v>44165</v>
      </c>
      <c r="I28" s="18">
        <v>153386.62</v>
      </c>
      <c r="J28" s="67" t="s">
        <v>39</v>
      </c>
      <c r="K28" s="74" t="s">
        <v>48</v>
      </c>
      <c r="L28" s="70"/>
      <c r="M28" s="77"/>
      <c r="N28" s="67"/>
      <c r="O28" s="68"/>
    </row>
    <row r="29" s="2" customFormat="1" ht="18" customHeight="1" spans="1:15">
      <c r="A29" s="34"/>
      <c r="B29" s="18">
        <f t="shared" si="4"/>
        <v>0</v>
      </c>
      <c r="C29" s="36"/>
      <c r="D29" s="37"/>
      <c r="E29" s="38"/>
      <c r="F29" s="122">
        <v>0</v>
      </c>
      <c r="G29" s="123"/>
      <c r="H29" s="42">
        <v>44165</v>
      </c>
      <c r="I29" s="131">
        <v>188000</v>
      </c>
      <c r="J29" s="67" t="s">
        <v>39</v>
      </c>
      <c r="K29" s="74" t="s">
        <v>54</v>
      </c>
      <c r="L29" s="70"/>
      <c r="M29" s="77"/>
      <c r="N29" s="67"/>
      <c r="O29" s="68"/>
    </row>
    <row r="30" s="2" customFormat="1" ht="18" customHeight="1" spans="1:15">
      <c r="A30" s="34"/>
      <c r="B30" s="126">
        <f t="shared" si="4"/>
        <v>480500.68</v>
      </c>
      <c r="C30" s="36"/>
      <c r="D30" s="37"/>
      <c r="E30" s="38"/>
      <c r="F30" s="122">
        <v>0</v>
      </c>
      <c r="G30" s="127">
        <v>480500.68</v>
      </c>
      <c r="H30" s="42">
        <v>44196</v>
      </c>
      <c r="I30" s="131">
        <v>251670</v>
      </c>
      <c r="J30" s="67" t="s">
        <v>39</v>
      </c>
      <c r="K30" s="74" t="s">
        <v>64</v>
      </c>
      <c r="L30" s="70"/>
      <c r="M30" s="77"/>
      <c r="N30" s="67"/>
      <c r="O30" s="68"/>
    </row>
    <row r="31" s="2" customFormat="1" ht="18" customHeight="1" spans="1:15">
      <c r="A31" s="34"/>
      <c r="B31" s="18">
        <f t="shared" si="4"/>
        <v>0</v>
      </c>
      <c r="C31" s="36"/>
      <c r="D31" s="37"/>
      <c r="E31" s="38"/>
      <c r="F31" s="122">
        <v>0</v>
      </c>
      <c r="G31" s="123"/>
      <c r="H31" s="42">
        <v>44217</v>
      </c>
      <c r="I31" s="131">
        <v>226840.51</v>
      </c>
      <c r="J31" s="67" t="s">
        <v>39</v>
      </c>
      <c r="K31" s="74" t="s">
        <v>64</v>
      </c>
      <c r="L31" s="70"/>
      <c r="M31" s="77"/>
      <c r="N31" s="67"/>
      <c r="O31" s="68"/>
    </row>
    <row r="32" s="2" customFormat="1" ht="18" customHeight="1" spans="1:15">
      <c r="A32" s="34"/>
      <c r="B32" s="126">
        <f t="shared" si="4"/>
        <v>123333.33</v>
      </c>
      <c r="C32" s="36"/>
      <c r="D32" s="37"/>
      <c r="E32" s="38"/>
      <c r="F32" s="122">
        <v>0</v>
      </c>
      <c r="G32" s="127">
        <v>123333.33</v>
      </c>
      <c r="H32" s="42">
        <v>44234</v>
      </c>
      <c r="I32" s="131">
        <v>122103.33</v>
      </c>
      <c r="J32" s="67" t="s">
        <v>39</v>
      </c>
      <c r="K32" s="74" t="s">
        <v>64</v>
      </c>
      <c r="L32" s="70"/>
      <c r="M32" s="77"/>
      <c r="N32" s="67"/>
      <c r="O32" s="68"/>
    </row>
    <row r="33" s="2" customFormat="1" ht="18" customHeight="1" spans="1:15">
      <c r="A33" s="34"/>
      <c r="B33" s="18">
        <f t="shared" si="4"/>
        <v>0</v>
      </c>
      <c r="C33" s="36"/>
      <c r="D33" s="37"/>
      <c r="E33" s="38"/>
      <c r="F33" s="122">
        <v>0</v>
      </c>
      <c r="G33" s="123"/>
      <c r="H33" s="51" t="s">
        <v>65</v>
      </c>
      <c r="I33" s="131">
        <v>1990.17</v>
      </c>
      <c r="J33" s="78" t="s">
        <v>66</v>
      </c>
      <c r="K33" s="74" t="s">
        <v>67</v>
      </c>
      <c r="L33" s="70"/>
      <c r="M33" s="77"/>
      <c r="N33" s="67"/>
      <c r="O33" s="68"/>
    </row>
    <row r="34" s="2" customFormat="1" ht="18" customHeight="1" spans="1:15">
      <c r="A34" s="34"/>
      <c r="B34" s="18">
        <f t="shared" si="4"/>
        <v>0</v>
      </c>
      <c r="C34" s="36"/>
      <c r="D34" s="37"/>
      <c r="E34" s="38"/>
      <c r="F34" s="122">
        <v>0</v>
      </c>
      <c r="G34" s="123"/>
      <c r="H34" s="51" t="s">
        <v>65</v>
      </c>
      <c r="I34" s="131">
        <v>1230</v>
      </c>
      <c r="J34" s="78" t="s">
        <v>66</v>
      </c>
      <c r="K34" s="74" t="s">
        <v>67</v>
      </c>
      <c r="L34" s="70"/>
      <c r="M34" s="77"/>
      <c r="N34" s="67"/>
      <c r="O34" s="68"/>
    </row>
    <row r="35" s="2" customFormat="1" ht="18" customHeight="1" spans="1:15">
      <c r="A35" s="34"/>
      <c r="B35" s="18">
        <f t="shared" si="4"/>
        <v>0</v>
      </c>
      <c r="C35" s="36"/>
      <c r="D35" s="37"/>
      <c r="E35" s="38"/>
      <c r="F35" s="122">
        <v>0</v>
      </c>
      <c r="G35" s="123"/>
      <c r="H35" s="51" t="s">
        <v>65</v>
      </c>
      <c r="I35" s="131">
        <v>6166.67</v>
      </c>
      <c r="J35" s="78" t="s">
        <v>66</v>
      </c>
      <c r="K35" s="74" t="s">
        <v>68</v>
      </c>
      <c r="L35" s="70"/>
      <c r="M35" s="77"/>
      <c r="N35" s="67"/>
      <c r="O35" s="68"/>
    </row>
    <row r="36" s="2" customFormat="1" ht="18" customHeight="1" spans="1:15">
      <c r="A36" s="34"/>
      <c r="B36" s="18">
        <f t="shared" si="4"/>
        <v>0</v>
      </c>
      <c r="C36" s="36"/>
      <c r="D36" s="37"/>
      <c r="E36" s="38"/>
      <c r="F36" s="122">
        <v>0</v>
      </c>
      <c r="G36" s="123"/>
      <c r="H36" s="51" t="s">
        <v>65</v>
      </c>
      <c r="I36" s="131">
        <v>50</v>
      </c>
      <c r="J36" s="78" t="s">
        <v>66</v>
      </c>
      <c r="K36" s="73" t="s">
        <v>69</v>
      </c>
      <c r="L36" s="70"/>
      <c r="M36" s="77"/>
      <c r="N36" s="67"/>
      <c r="O36" s="68"/>
    </row>
    <row r="37" s="2" customFormat="1" ht="18" customHeight="1" spans="1:15">
      <c r="A37" s="34"/>
      <c r="B37" s="18">
        <f t="shared" si="4"/>
        <v>0</v>
      </c>
      <c r="C37" s="36"/>
      <c r="D37" s="37"/>
      <c r="E37" s="38"/>
      <c r="F37" s="122">
        <v>0</v>
      </c>
      <c r="G37" s="123"/>
      <c r="H37" s="51" t="s">
        <v>65</v>
      </c>
      <c r="I37" s="131">
        <v>24025.23</v>
      </c>
      <c r="J37" s="78" t="s">
        <v>66</v>
      </c>
      <c r="K37" s="74" t="s">
        <v>68</v>
      </c>
      <c r="L37" s="70"/>
      <c r="M37" s="77"/>
      <c r="N37" s="67"/>
      <c r="O37" s="68"/>
    </row>
    <row r="38" s="2" customFormat="1" ht="18" customHeight="1" spans="1:15">
      <c r="A38" s="34"/>
      <c r="B38" s="18">
        <f t="shared" si="4"/>
        <v>0</v>
      </c>
      <c r="C38" s="36"/>
      <c r="D38" s="37"/>
      <c r="E38" s="38"/>
      <c r="F38" s="122">
        <v>0</v>
      </c>
      <c r="G38" s="123"/>
      <c r="H38" s="51" t="s">
        <v>65</v>
      </c>
      <c r="I38" s="132">
        <v>66.1019036697248</v>
      </c>
      <c r="J38" s="78" t="s">
        <v>66</v>
      </c>
      <c r="K38" s="80" t="s">
        <v>70</v>
      </c>
      <c r="L38" s="70"/>
      <c r="M38" s="77"/>
      <c r="N38" s="67"/>
      <c r="O38" s="68"/>
    </row>
    <row r="39" s="2" customFormat="1" ht="18" customHeight="1" spans="1:15">
      <c r="A39" s="34"/>
      <c r="B39" s="18">
        <v>0</v>
      </c>
      <c r="C39" s="36"/>
      <c r="D39" s="37"/>
      <c r="E39" s="38"/>
      <c r="F39" s="122">
        <v>0</v>
      </c>
      <c r="G39" s="123"/>
      <c r="H39" s="51" t="s">
        <v>65</v>
      </c>
      <c r="I39" s="132">
        <v>777.25</v>
      </c>
      <c r="J39" s="78" t="s">
        <v>66</v>
      </c>
      <c r="K39" s="80" t="s">
        <v>71</v>
      </c>
      <c r="L39" s="70"/>
      <c r="M39" s="77"/>
      <c r="N39" s="67"/>
      <c r="O39" s="68"/>
    </row>
    <row r="40" s="2" customFormat="1" ht="18" customHeight="1" spans="1:16">
      <c r="A40" s="34"/>
      <c r="B40" s="18">
        <v>0</v>
      </c>
      <c r="C40" s="36"/>
      <c r="D40" s="37"/>
      <c r="E40" s="38"/>
      <c r="F40" s="122">
        <v>0</v>
      </c>
      <c r="G40" s="123"/>
      <c r="H40" s="51" t="s">
        <v>65</v>
      </c>
      <c r="I40" s="132">
        <v>1597.28440366973</v>
      </c>
      <c r="J40" s="78" t="s">
        <v>66</v>
      </c>
      <c r="K40" s="80" t="s">
        <v>72</v>
      </c>
      <c r="L40" s="70"/>
      <c r="M40" s="77"/>
      <c r="N40" s="67"/>
      <c r="O40" s="68"/>
      <c r="P40" s="2">
        <f>I32+I34</f>
        <v>123333.33</v>
      </c>
    </row>
    <row r="41" s="2" customFormat="1" ht="18" customHeight="1" spans="1:15">
      <c r="A41" s="34"/>
      <c r="B41" s="18">
        <v>0</v>
      </c>
      <c r="C41" s="36"/>
      <c r="D41" s="37"/>
      <c r="E41" s="38"/>
      <c r="F41" s="122">
        <v>0</v>
      </c>
      <c r="G41" s="123">
        <f>I41</f>
        <v>777.25</v>
      </c>
      <c r="H41" s="51" t="s">
        <v>65</v>
      </c>
      <c r="I41" s="132">
        <v>777.25</v>
      </c>
      <c r="J41" s="78" t="s">
        <v>66</v>
      </c>
      <c r="K41" s="80" t="s">
        <v>73</v>
      </c>
      <c r="L41" s="70"/>
      <c r="M41" s="77"/>
      <c r="N41" s="67"/>
      <c r="O41" s="68"/>
    </row>
    <row r="42" s="2" customFormat="1" ht="18" customHeight="1" spans="1:15">
      <c r="A42" s="34"/>
      <c r="B42" s="18">
        <v>0</v>
      </c>
      <c r="C42" s="36"/>
      <c r="D42" s="37"/>
      <c r="E42" s="38"/>
      <c r="F42" s="122">
        <f t="shared" ref="F41:F45" si="6">ROUND(G42/(1+E42)*E42,2)</f>
        <v>0</v>
      </c>
      <c r="G42" s="123"/>
      <c r="H42" s="42" t="s">
        <v>74</v>
      </c>
      <c r="I42" s="132">
        <v>100</v>
      </c>
      <c r="J42" s="78" t="s">
        <v>66</v>
      </c>
      <c r="K42" s="80" t="s">
        <v>69</v>
      </c>
      <c r="L42" s="70"/>
      <c r="M42" s="77"/>
      <c r="N42" s="67"/>
      <c r="O42" s="68"/>
    </row>
    <row r="43" s="2" customFormat="1" ht="18" customHeight="1" spans="1:15">
      <c r="A43" s="34"/>
      <c r="B43" s="18">
        <f>ROUND(G43/(1+E43),2)</f>
        <v>0</v>
      </c>
      <c r="C43" s="36"/>
      <c r="D43" s="37"/>
      <c r="E43" s="38"/>
      <c r="F43" s="122">
        <f t="shared" si="6"/>
        <v>0</v>
      </c>
      <c r="G43" s="123"/>
      <c r="H43" s="42" t="s">
        <v>74</v>
      </c>
      <c r="I43" s="18">
        <v>227136.41</v>
      </c>
      <c r="J43" s="81" t="s">
        <v>75</v>
      </c>
      <c r="K43" s="82" t="s">
        <v>76</v>
      </c>
      <c r="L43" s="70"/>
      <c r="M43" s="77"/>
      <c r="N43" s="67"/>
      <c r="O43" s="68"/>
    </row>
    <row r="44" s="2" customFormat="1" ht="18" customHeight="1" spans="1:15">
      <c r="A44" s="34"/>
      <c r="B44" s="18">
        <f t="shared" ref="B42:B47" si="7">ROUND(G44/(1+E44),2)</f>
        <v>0</v>
      </c>
      <c r="C44" s="36"/>
      <c r="D44" s="37"/>
      <c r="E44" s="38"/>
      <c r="F44" s="122">
        <f t="shared" si="6"/>
        <v>0</v>
      </c>
      <c r="G44" s="123"/>
      <c r="H44" s="42" t="s">
        <v>74</v>
      </c>
      <c r="I44" s="18">
        <v>1092.8</v>
      </c>
      <c r="J44" s="67" t="s">
        <v>66</v>
      </c>
      <c r="K44" s="83" t="s">
        <v>77</v>
      </c>
      <c r="L44" s="70"/>
      <c r="M44" s="84"/>
      <c r="N44" s="67"/>
      <c r="O44" s="68"/>
    </row>
    <row r="45" s="2" customFormat="1" ht="18" customHeight="1" spans="1:15">
      <c r="A45" s="34"/>
      <c r="B45" s="18">
        <f t="shared" si="7"/>
        <v>0</v>
      </c>
      <c r="C45" s="36"/>
      <c r="D45" s="37"/>
      <c r="E45" s="38"/>
      <c r="F45" s="122">
        <f t="shared" si="6"/>
        <v>0</v>
      </c>
      <c r="G45" s="123"/>
      <c r="H45" s="42" t="s">
        <v>74</v>
      </c>
      <c r="I45" s="18">
        <v>12849.55</v>
      </c>
      <c r="J45" s="67" t="s">
        <v>66</v>
      </c>
      <c r="K45" s="83" t="s">
        <v>78</v>
      </c>
      <c r="L45" s="70"/>
      <c r="M45" s="84"/>
      <c r="N45" s="67"/>
      <c r="O45" s="68"/>
    </row>
    <row r="46" s="2" customFormat="1" ht="18" customHeight="1" spans="1:15">
      <c r="A46" s="34"/>
      <c r="B46" s="18">
        <f t="shared" si="7"/>
        <v>12849.55</v>
      </c>
      <c r="C46" s="36"/>
      <c r="D46" s="37"/>
      <c r="E46" s="38"/>
      <c r="F46" s="122">
        <f t="shared" ref="F42:F52" si="8">ROUND(G46/(1+E46)*E46,2)</f>
        <v>0</v>
      </c>
      <c r="G46" s="123">
        <f>I46</f>
        <v>12849.55</v>
      </c>
      <c r="H46" s="42" t="s">
        <v>74</v>
      </c>
      <c r="I46" s="18">
        <v>12849.55</v>
      </c>
      <c r="J46" s="67" t="s">
        <v>66</v>
      </c>
      <c r="K46" s="83" t="s">
        <v>79</v>
      </c>
      <c r="L46" s="70"/>
      <c r="M46" s="84"/>
      <c r="N46" s="67"/>
      <c r="O46" s="68"/>
    </row>
    <row r="47" s="2" customFormat="1" ht="18" customHeight="1" spans="1:15">
      <c r="A47" s="34"/>
      <c r="B47" s="18">
        <f t="shared" si="7"/>
        <v>0</v>
      </c>
      <c r="C47" s="36"/>
      <c r="D47" s="37"/>
      <c r="E47" s="38"/>
      <c r="F47" s="122">
        <f t="shared" si="8"/>
        <v>0</v>
      </c>
      <c r="G47" s="123"/>
      <c r="H47" s="42" t="s">
        <v>80</v>
      </c>
      <c r="I47" s="18">
        <v>50</v>
      </c>
      <c r="J47" s="67" t="s">
        <v>66</v>
      </c>
      <c r="K47" s="85" t="s">
        <v>69</v>
      </c>
      <c r="L47" s="70"/>
      <c r="M47" s="84"/>
      <c r="N47" s="67"/>
      <c r="O47" s="68"/>
    </row>
    <row r="48" s="2" customFormat="1" ht="18" customHeight="1" spans="1:15">
      <c r="A48" s="34"/>
      <c r="B48" s="18">
        <f t="shared" ref="B43:B52" si="9">ROUND(G48/(1+E48),2)</f>
        <v>0</v>
      </c>
      <c r="C48" s="36"/>
      <c r="D48" s="37"/>
      <c r="E48" s="38"/>
      <c r="F48" s="122">
        <f t="shared" si="8"/>
        <v>0</v>
      </c>
      <c r="G48" s="123"/>
      <c r="H48" s="42" t="s">
        <v>80</v>
      </c>
      <c r="I48" s="18">
        <v>-33008</v>
      </c>
      <c r="J48" s="67" t="s">
        <v>81</v>
      </c>
      <c r="K48" s="86" t="s">
        <v>82</v>
      </c>
      <c r="L48" s="70"/>
      <c r="M48" s="84"/>
      <c r="N48" s="67"/>
      <c r="O48" s="68"/>
    </row>
    <row r="49" s="2" customFormat="1" ht="18" customHeight="1" spans="1:15">
      <c r="A49" s="34"/>
      <c r="B49" s="18">
        <f t="shared" si="9"/>
        <v>0</v>
      </c>
      <c r="C49" s="36"/>
      <c r="D49" s="37" t="s">
        <v>24</v>
      </c>
      <c r="E49" s="38"/>
      <c r="F49" s="122">
        <f t="shared" si="8"/>
        <v>0</v>
      </c>
      <c r="G49" s="123"/>
      <c r="H49" s="42" t="s">
        <v>80</v>
      </c>
      <c r="I49" s="18">
        <v>250</v>
      </c>
      <c r="J49" s="67" t="s">
        <v>66</v>
      </c>
      <c r="K49" s="85" t="s">
        <v>69</v>
      </c>
      <c r="L49" s="70"/>
      <c r="M49" s="84"/>
      <c r="N49" s="67"/>
      <c r="O49" s="68"/>
    </row>
    <row r="50" s="3" customFormat="1" ht="18" customHeight="1" spans="1:15">
      <c r="A50" s="52"/>
      <c r="B50" s="18">
        <f t="shared" si="9"/>
        <v>0</v>
      </c>
      <c r="C50" s="53"/>
      <c r="D50" s="54"/>
      <c r="E50" s="55"/>
      <c r="F50" s="122">
        <f t="shared" si="8"/>
        <v>0</v>
      </c>
      <c r="G50" s="127"/>
      <c r="H50" s="42" t="s">
        <v>80</v>
      </c>
      <c r="I50" s="18">
        <v>-50360</v>
      </c>
      <c r="J50" s="67" t="s">
        <v>81</v>
      </c>
      <c r="K50" s="86" t="s">
        <v>83</v>
      </c>
      <c r="L50" s="87"/>
      <c r="M50" s="88"/>
      <c r="N50" s="88"/>
      <c r="O50" s="89"/>
    </row>
    <row r="51" s="3" customFormat="1" ht="18" customHeight="1" spans="1:15">
      <c r="A51" s="52"/>
      <c r="B51" s="18">
        <f t="shared" si="9"/>
        <v>0</v>
      </c>
      <c r="C51" s="53"/>
      <c r="D51" s="54"/>
      <c r="E51" s="55"/>
      <c r="F51" s="122">
        <f t="shared" si="8"/>
        <v>0</v>
      </c>
      <c r="G51" s="127"/>
      <c r="H51" s="42" t="s">
        <v>80</v>
      </c>
      <c r="I51" s="18">
        <v>-268000</v>
      </c>
      <c r="J51" s="67" t="s">
        <v>81</v>
      </c>
      <c r="K51" s="86" t="s">
        <v>84</v>
      </c>
      <c r="L51" s="87"/>
      <c r="M51" s="88"/>
      <c r="N51" s="88"/>
      <c r="O51" s="89"/>
    </row>
    <row r="52" s="3" customFormat="1" ht="18" customHeight="1" spans="1:15">
      <c r="A52" s="52"/>
      <c r="B52" s="18">
        <f t="shared" si="9"/>
        <v>0</v>
      </c>
      <c r="C52" s="53"/>
      <c r="D52" s="54"/>
      <c r="E52" s="55"/>
      <c r="F52" s="122">
        <f t="shared" si="8"/>
        <v>0</v>
      </c>
      <c r="G52" s="127"/>
      <c r="H52" s="42" t="s">
        <v>80</v>
      </c>
      <c r="I52" s="18">
        <v>50</v>
      </c>
      <c r="J52" s="67" t="s">
        <v>66</v>
      </c>
      <c r="K52" s="85" t="s">
        <v>69</v>
      </c>
      <c r="L52" s="87"/>
      <c r="M52" s="88"/>
      <c r="N52" s="88"/>
      <c r="O52" s="89"/>
    </row>
    <row r="53" s="2" customFormat="1" ht="18" customHeight="1" spans="1:15">
      <c r="A53" s="34"/>
      <c r="B53" s="122">
        <f t="shared" ref="B50:B55" si="10">ROUND(G53/(1+E53),2)</f>
        <v>0</v>
      </c>
      <c r="C53" s="36"/>
      <c r="D53" s="37"/>
      <c r="E53" s="38"/>
      <c r="F53" s="122">
        <f t="shared" ref="F50:F55" si="11">ROUND(G53/(1+E53)*E53,2)</f>
        <v>0</v>
      </c>
      <c r="G53" s="119"/>
      <c r="H53" s="56" t="s">
        <v>80</v>
      </c>
      <c r="I53" s="18">
        <v>100</v>
      </c>
      <c r="J53" s="67" t="s">
        <v>66</v>
      </c>
      <c r="K53" s="86" t="s">
        <v>69</v>
      </c>
      <c r="L53" s="70" t="s">
        <v>24</v>
      </c>
      <c r="M53" s="67"/>
      <c r="N53" s="67"/>
      <c r="O53" s="68"/>
    </row>
    <row r="54" s="2" customFormat="1" ht="18" customHeight="1" spans="1:15">
      <c r="A54" s="34"/>
      <c r="B54" s="122">
        <f t="shared" si="10"/>
        <v>0</v>
      </c>
      <c r="C54" s="36"/>
      <c r="D54" s="37"/>
      <c r="E54" s="38"/>
      <c r="F54" s="122">
        <f t="shared" si="11"/>
        <v>0</v>
      </c>
      <c r="G54" s="119"/>
      <c r="H54" s="57" t="s">
        <v>80</v>
      </c>
      <c r="I54" s="18">
        <v>200</v>
      </c>
      <c r="J54" s="67" t="s">
        <v>66</v>
      </c>
      <c r="K54" s="86" t="s">
        <v>69</v>
      </c>
      <c r="L54" s="70"/>
      <c r="M54" s="67"/>
      <c r="N54" s="67"/>
      <c r="O54" s="68"/>
    </row>
    <row r="55" s="2" customFormat="1" ht="18" customHeight="1" spans="1:15">
      <c r="A55" s="34"/>
      <c r="B55" s="122">
        <f t="shared" si="10"/>
        <v>0</v>
      </c>
      <c r="C55" s="36"/>
      <c r="D55" s="37"/>
      <c r="E55" s="90"/>
      <c r="F55" s="122">
        <f t="shared" si="11"/>
        <v>0</v>
      </c>
      <c r="G55" s="119"/>
      <c r="H55" s="23" t="s">
        <v>80</v>
      </c>
      <c r="I55" s="133">
        <v>268000</v>
      </c>
      <c r="J55" s="81" t="s">
        <v>75</v>
      </c>
      <c r="K55" s="82" t="s">
        <v>76</v>
      </c>
      <c r="L55" s="70"/>
      <c r="M55" s="67"/>
      <c r="N55" s="67"/>
      <c r="O55" s="68"/>
    </row>
    <row r="56" s="2" customFormat="1" ht="18" customHeight="1" spans="1:15">
      <c r="A56" s="34"/>
      <c r="B56" s="18">
        <f t="shared" ref="B52:B58" si="12">ROUND(G56/(1+E56),2)</f>
        <v>0</v>
      </c>
      <c r="C56" s="36"/>
      <c r="D56" s="37"/>
      <c r="E56" s="90"/>
      <c r="F56" s="122">
        <f t="shared" ref="F52:F64" si="13">ROUND(G56/(1+E56)*E56,2)</f>
        <v>0</v>
      </c>
      <c r="G56" s="119"/>
      <c r="H56" s="23" t="s">
        <v>80</v>
      </c>
      <c r="I56" s="18">
        <v>33008</v>
      </c>
      <c r="J56" s="67" t="s">
        <v>75</v>
      </c>
      <c r="K56" s="82" t="s">
        <v>85</v>
      </c>
      <c r="L56" s="68"/>
      <c r="M56" s="67"/>
      <c r="N56" s="67"/>
      <c r="O56" s="68"/>
    </row>
    <row r="57" s="2" customFormat="1" ht="18" customHeight="1" spans="1:15">
      <c r="A57" s="34"/>
      <c r="B57" s="18">
        <f t="shared" si="12"/>
        <v>0</v>
      </c>
      <c r="C57" s="36"/>
      <c r="D57" s="37"/>
      <c r="E57" s="90"/>
      <c r="F57" s="122">
        <f t="shared" si="13"/>
        <v>0</v>
      </c>
      <c r="G57" s="119"/>
      <c r="H57" s="23" t="s">
        <v>80</v>
      </c>
      <c r="I57" s="18">
        <v>1366</v>
      </c>
      <c r="J57" s="67" t="s">
        <v>66</v>
      </c>
      <c r="K57" s="83" t="s">
        <v>77</v>
      </c>
      <c r="L57" s="68" t="s">
        <v>24</v>
      </c>
      <c r="M57" s="67"/>
      <c r="N57" s="67"/>
      <c r="O57" s="68"/>
    </row>
    <row r="58" s="2" customFormat="1" ht="18" customHeight="1" spans="1:15">
      <c r="A58" s="34"/>
      <c r="B58" s="18">
        <f t="shared" si="12"/>
        <v>0</v>
      </c>
      <c r="C58" s="36"/>
      <c r="D58" s="37"/>
      <c r="E58" s="90"/>
      <c r="F58" s="18">
        <f t="shared" si="13"/>
        <v>0</v>
      </c>
      <c r="G58" s="119"/>
      <c r="H58" s="23" t="s">
        <v>80</v>
      </c>
      <c r="I58" s="18">
        <v>16062</v>
      </c>
      <c r="J58" s="67" t="s">
        <v>66</v>
      </c>
      <c r="K58" s="83" t="s">
        <v>78</v>
      </c>
      <c r="L58" s="68"/>
      <c r="M58" s="67"/>
      <c r="N58" s="67"/>
      <c r="O58" s="68"/>
    </row>
    <row r="59" s="2" customFormat="1" ht="18" customHeight="1" spans="1:15">
      <c r="A59" s="34"/>
      <c r="B59" s="18">
        <f t="shared" ref="B52:B64" si="14">ROUND(G59/(1+E59),2)</f>
        <v>0</v>
      </c>
      <c r="C59" s="36"/>
      <c r="D59" s="37"/>
      <c r="E59" s="90"/>
      <c r="F59" s="18">
        <f t="shared" si="13"/>
        <v>0</v>
      </c>
      <c r="G59" s="119"/>
      <c r="H59" s="23" t="s">
        <v>86</v>
      </c>
      <c r="I59" s="18">
        <v>50360</v>
      </c>
      <c r="J59" s="67" t="s">
        <v>66</v>
      </c>
      <c r="K59" s="83" t="s">
        <v>87</v>
      </c>
      <c r="L59" s="68"/>
      <c r="M59" s="67"/>
      <c r="N59" s="67"/>
      <c r="O59" s="68"/>
    </row>
    <row r="60" s="2" customFormat="1" ht="18" customHeight="1" spans="1:15">
      <c r="A60" s="34"/>
      <c r="B60" s="18">
        <f t="shared" si="14"/>
        <v>16062</v>
      </c>
      <c r="C60" s="36"/>
      <c r="D60" s="37"/>
      <c r="E60" s="90"/>
      <c r="F60" s="18">
        <f t="shared" si="13"/>
        <v>0</v>
      </c>
      <c r="G60" s="119">
        <v>16062</v>
      </c>
      <c r="H60" s="23" t="s">
        <v>80</v>
      </c>
      <c r="I60" s="18">
        <f>G60</f>
        <v>16062</v>
      </c>
      <c r="J60" s="67" t="s">
        <v>66</v>
      </c>
      <c r="K60" s="83" t="s">
        <v>79</v>
      </c>
      <c r="L60" s="68"/>
      <c r="M60" s="67"/>
      <c r="N60" s="67"/>
      <c r="O60" s="68"/>
    </row>
    <row r="61" s="2" customFormat="1" ht="18" customHeight="1" spans="1:15">
      <c r="A61" s="34"/>
      <c r="B61" s="18">
        <f t="shared" si="14"/>
        <v>0</v>
      </c>
      <c r="C61" s="36"/>
      <c r="D61" s="37"/>
      <c r="E61" s="90"/>
      <c r="F61" s="18">
        <f t="shared" si="13"/>
        <v>0</v>
      </c>
      <c r="G61" s="119"/>
      <c r="H61" s="23" t="s">
        <v>88</v>
      </c>
      <c r="I61" s="18">
        <v>274</v>
      </c>
      <c r="J61" s="67" t="s">
        <v>66</v>
      </c>
      <c r="K61" s="83" t="s">
        <v>77</v>
      </c>
      <c r="L61" s="68"/>
      <c r="M61" s="67"/>
      <c r="N61" s="67"/>
      <c r="O61" s="68"/>
    </row>
    <row r="62" s="2" customFormat="1" ht="18" customHeight="1" spans="1:15">
      <c r="A62" s="34"/>
      <c r="B62" s="18">
        <f t="shared" si="14"/>
        <v>0</v>
      </c>
      <c r="C62" s="36"/>
      <c r="D62" s="37"/>
      <c r="E62" s="90"/>
      <c r="F62" s="18">
        <f t="shared" si="13"/>
        <v>0</v>
      </c>
      <c r="G62" s="119"/>
      <c r="H62" s="23" t="s">
        <v>88</v>
      </c>
      <c r="I62" s="18">
        <v>3213</v>
      </c>
      <c r="J62" s="67" t="s">
        <v>66</v>
      </c>
      <c r="K62" s="83" t="s">
        <v>78</v>
      </c>
      <c r="L62" s="68"/>
      <c r="M62" s="67"/>
      <c r="N62" s="67"/>
      <c r="O62" s="68"/>
    </row>
    <row r="63" s="2" customFormat="1" ht="18" customHeight="1" spans="1:15">
      <c r="A63" s="34"/>
      <c r="B63" s="18">
        <f t="shared" si="14"/>
        <v>3212.39</v>
      </c>
      <c r="C63" s="36"/>
      <c r="D63" s="37"/>
      <c r="E63" s="90"/>
      <c r="F63" s="18">
        <f t="shared" si="13"/>
        <v>0</v>
      </c>
      <c r="G63" s="119">
        <f>3212.39</f>
        <v>3212.39</v>
      </c>
      <c r="H63" s="23" t="s">
        <v>88</v>
      </c>
      <c r="I63" s="18">
        <f>G63</f>
        <v>3212.39</v>
      </c>
      <c r="J63" s="67" t="s">
        <v>66</v>
      </c>
      <c r="K63" s="83" t="s">
        <v>79</v>
      </c>
      <c r="L63" s="68"/>
      <c r="M63" s="67"/>
      <c r="N63" s="67"/>
      <c r="O63" s="68"/>
    </row>
    <row r="64" s="2" customFormat="1" ht="18" customHeight="1" spans="1:15">
      <c r="A64" s="34"/>
      <c r="B64" s="18">
        <f t="shared" si="14"/>
        <v>0</v>
      </c>
      <c r="C64" s="36"/>
      <c r="D64" s="37"/>
      <c r="E64" s="90"/>
      <c r="F64" s="18">
        <f t="shared" si="13"/>
        <v>0</v>
      </c>
      <c r="G64" s="119"/>
      <c r="H64" s="23"/>
      <c r="I64" s="116"/>
      <c r="J64" s="61"/>
      <c r="K64" s="83"/>
      <c r="L64" s="68"/>
      <c r="M64" s="67"/>
      <c r="N64" s="67"/>
      <c r="O64" s="68"/>
    </row>
    <row r="65" ht="18" customHeight="1" spans="1:15">
      <c r="A65" s="30" t="s">
        <v>23</v>
      </c>
      <c r="B65" s="120">
        <f t="shared" ref="B65:G65" si="15">SUM(B14:B64)</f>
        <v>2610223.54</v>
      </c>
      <c r="C65" s="30"/>
      <c r="D65" s="91"/>
      <c r="E65" s="91"/>
      <c r="F65" s="115">
        <f t="shared" si="15"/>
        <v>215123.82</v>
      </c>
      <c r="G65" s="134">
        <f t="shared" si="15"/>
        <v>2826124.61</v>
      </c>
      <c r="H65" s="93"/>
      <c r="I65" s="121">
        <f>SUM(I14:I64)</f>
        <v>3157922.55630734</v>
      </c>
      <c r="J65" s="110"/>
      <c r="K65" s="91"/>
      <c r="L65" s="32"/>
      <c r="M65" s="61"/>
      <c r="N65" s="61"/>
      <c r="O65" s="32"/>
    </row>
    <row r="66" ht="18" customHeight="1" spans="1:14">
      <c r="A66" s="94" t="s">
        <v>89</v>
      </c>
      <c r="B66" s="96">
        <f>B11*0.96</f>
        <v>2897714.40440366</v>
      </c>
      <c r="C66" s="94"/>
      <c r="D66" s="95"/>
      <c r="E66" s="95"/>
      <c r="F66" s="96"/>
      <c r="G66" s="96">
        <f>G11-G65</f>
        <v>463988.62</v>
      </c>
      <c r="H66" s="22" t="s">
        <v>90</v>
      </c>
      <c r="I66" s="121">
        <f>I11-I65</f>
        <v>132190.673692661</v>
      </c>
      <c r="J66" s="1"/>
      <c r="K66" s="111"/>
      <c r="M66" s="112"/>
      <c r="N66" s="112"/>
    </row>
    <row r="67" ht="18" customHeight="1" spans="1:14">
      <c r="A67" s="94" t="s">
        <v>91</v>
      </c>
      <c r="B67" s="96">
        <f>B66-B65</f>
        <v>287490.86440366</v>
      </c>
      <c r="C67" s="94"/>
      <c r="D67" s="95"/>
      <c r="E67" s="95"/>
      <c r="F67" s="96"/>
      <c r="G67" s="96"/>
      <c r="H67" s="97"/>
      <c r="I67" s="96"/>
      <c r="J67" s="1"/>
      <c r="K67" s="111"/>
      <c r="M67" s="112"/>
      <c r="N67" s="112"/>
    </row>
    <row r="68" ht="18" customHeight="1" spans="1:3">
      <c r="A68" s="4" t="s">
        <v>92</v>
      </c>
      <c r="C68" s="4"/>
    </row>
    <row r="69" ht="18" customHeight="1" spans="1:11">
      <c r="A69" s="22" t="s">
        <v>93</v>
      </c>
      <c r="B69" s="21" t="s">
        <v>94</v>
      </c>
      <c r="C69" s="32"/>
      <c r="D69" s="22" t="s">
        <v>93</v>
      </c>
      <c r="E69" s="20" t="s">
        <v>16</v>
      </c>
      <c r="F69" s="21" t="s">
        <v>94</v>
      </c>
      <c r="G69" s="21" t="s">
        <v>95</v>
      </c>
      <c r="H69" s="21" t="s">
        <v>96</v>
      </c>
      <c r="I69" s="21" t="s">
        <v>97</v>
      </c>
      <c r="J69" s="21" t="s">
        <v>98</v>
      </c>
      <c r="K69" s="21" t="s">
        <v>99</v>
      </c>
    </row>
    <row r="70" ht="18" customHeight="1" spans="1:11">
      <c r="A70" s="32" t="s">
        <v>100</v>
      </c>
      <c r="B70" s="18">
        <f>(B66-B65)*0.25</f>
        <v>71872.716100915</v>
      </c>
      <c r="C70" s="32"/>
      <c r="D70" s="28" t="s">
        <v>101</v>
      </c>
      <c r="E70" s="22" t="s">
        <v>102</v>
      </c>
      <c r="F70" s="115">
        <f>F11-F65</f>
        <v>-3832.144678899</v>
      </c>
      <c r="G70" s="115">
        <f>F7-F14</f>
        <v>-58186.6840366972</v>
      </c>
      <c r="H70" s="115">
        <f>F7+F8-F14</f>
        <v>44963.3970642198</v>
      </c>
      <c r="I70" s="115">
        <f>-H70</f>
        <v>-44963.3970642198</v>
      </c>
      <c r="J70" s="115">
        <v>0</v>
      </c>
      <c r="K70" s="115">
        <f>D10</f>
        <v>1426.14678899083</v>
      </c>
    </row>
    <row r="71" ht="18" customHeight="1" spans="1:11">
      <c r="A71" s="32" t="s">
        <v>103</v>
      </c>
      <c r="B71" s="135"/>
      <c r="C71" s="32"/>
      <c r="D71" s="99" t="s">
        <v>104</v>
      </c>
      <c r="E71" s="14">
        <v>0.07</v>
      </c>
      <c r="F71" s="116">
        <f>F70*E71</f>
        <v>-268.25012752293</v>
      </c>
      <c r="G71" s="116">
        <v>0</v>
      </c>
      <c r="H71" s="116">
        <f>H70*E71</f>
        <v>3147.43779449539</v>
      </c>
      <c r="I71" s="116">
        <f>I70*E71</f>
        <v>-3147.43779449539</v>
      </c>
      <c r="J71" s="116">
        <v>0</v>
      </c>
      <c r="K71" s="116">
        <f>K70*E71</f>
        <v>99.8302752293581</v>
      </c>
    </row>
    <row r="72" ht="18" customHeight="1" spans="1:11">
      <c r="A72" s="32" t="s">
        <v>105</v>
      </c>
      <c r="B72" s="135"/>
      <c r="C72" s="32"/>
      <c r="D72" s="99" t="s">
        <v>106</v>
      </c>
      <c r="E72" s="14">
        <v>0.03</v>
      </c>
      <c r="F72" s="116">
        <f>F70*E72</f>
        <v>-114.96434036697</v>
      </c>
      <c r="G72" s="116">
        <v>0</v>
      </c>
      <c r="H72" s="116">
        <f>H70*E72</f>
        <v>1348.90191192659</v>
      </c>
      <c r="I72" s="116">
        <f>I70*E72</f>
        <v>-1348.90191192659</v>
      </c>
      <c r="J72" s="116">
        <v>0</v>
      </c>
      <c r="K72" s="116">
        <f>K70*E72</f>
        <v>42.7844036697249</v>
      </c>
    </row>
    <row r="73" ht="18" customHeight="1" spans="1:11">
      <c r="A73" s="32"/>
      <c r="B73" s="116"/>
      <c r="C73" s="32"/>
      <c r="D73" s="99" t="s">
        <v>107</v>
      </c>
      <c r="E73" s="14">
        <v>0.02</v>
      </c>
      <c r="F73" s="116">
        <f>F70*E73</f>
        <v>-76.64289357798</v>
      </c>
      <c r="G73" s="116">
        <v>0</v>
      </c>
      <c r="H73" s="116">
        <f>H70*E73</f>
        <v>899.267941284396</v>
      </c>
      <c r="I73" s="116">
        <f>I70*E73</f>
        <v>-899.267941284396</v>
      </c>
      <c r="J73" s="116">
        <v>0</v>
      </c>
      <c r="K73" s="116">
        <f>K70*E73</f>
        <v>28.5229357798166</v>
      </c>
    </row>
    <row r="74" ht="18" customHeight="1" spans="1:11">
      <c r="A74" s="28" t="s">
        <v>108</v>
      </c>
      <c r="B74" s="120">
        <f>SUM(B70:B73)</f>
        <v>71872.716100915</v>
      </c>
      <c r="C74" s="32"/>
      <c r="D74" s="33" t="s">
        <v>108</v>
      </c>
      <c r="E74" s="28"/>
      <c r="F74" s="115">
        <f t="shared" ref="F74:I74" si="16">SUM(F70:F73)</f>
        <v>-4292.00204036688</v>
      </c>
      <c r="G74" s="115">
        <v>0</v>
      </c>
      <c r="H74" s="115">
        <f t="shared" si="16"/>
        <v>50359.0047119262</v>
      </c>
      <c r="I74" s="117">
        <f t="shared" si="16"/>
        <v>-50359.0047119262</v>
      </c>
      <c r="J74" s="117">
        <v>0</v>
      </c>
      <c r="K74" s="117">
        <f>SUM(K70:K73)</f>
        <v>1597.28440366973</v>
      </c>
    </row>
    <row r="75" ht="18" customHeight="1" spans="3:11">
      <c r="C75" s="4"/>
      <c r="D75" s="100" t="s">
        <v>100</v>
      </c>
      <c r="E75" s="101">
        <v>0.01</v>
      </c>
      <c r="F75" s="136">
        <f>G11*E75</f>
        <v>32901.1323</v>
      </c>
      <c r="G75" s="136">
        <f>G7*E75</f>
        <v>3212.3882</v>
      </c>
      <c r="H75" s="137">
        <f>G8*E75</f>
        <v>16061.9412</v>
      </c>
      <c r="I75" s="138"/>
      <c r="J75" s="121">
        <f>G9*E75</f>
        <v>12849.5529</v>
      </c>
      <c r="K75" s="121">
        <f>G10*E75</f>
        <v>777.25</v>
      </c>
    </row>
    <row r="76" ht="18" customHeight="1" spans="3:11">
      <c r="C76" s="4"/>
      <c r="D76" s="12" t="s">
        <v>103</v>
      </c>
      <c r="E76" s="103">
        <v>0.0003</v>
      </c>
      <c r="F76" s="116">
        <f>G11*E76</f>
        <v>987.033969</v>
      </c>
      <c r="G76" s="116">
        <f>G7*E76</f>
        <v>96.371646</v>
      </c>
      <c r="H76" s="138">
        <f>G8*E76</f>
        <v>481.858236</v>
      </c>
      <c r="I76" s="116"/>
      <c r="J76" s="140">
        <f>G9*E76</f>
        <v>385.486587</v>
      </c>
      <c r="K76" s="140">
        <f>G10*E76</f>
        <v>23.3175</v>
      </c>
    </row>
    <row r="77" ht="18" customHeight="1" spans="3:11">
      <c r="C77" s="4"/>
      <c r="D77" s="12" t="s">
        <v>105</v>
      </c>
      <c r="E77" s="103">
        <v>0.0006</v>
      </c>
      <c r="F77" s="116">
        <f>B11*E77</f>
        <v>1811.07150275229</v>
      </c>
      <c r="G77" s="116">
        <f>B7*E77</f>
        <v>176.828708256881</v>
      </c>
      <c r="H77" s="138">
        <f>B8*E77</f>
        <v>884.143552293576</v>
      </c>
      <c r="I77" s="116"/>
      <c r="J77" s="116">
        <f>B9*E77</f>
        <v>707.314838532108</v>
      </c>
      <c r="K77" s="116">
        <f>B10*E77</f>
        <v>42.7844036697248</v>
      </c>
    </row>
    <row r="78" ht="18" customHeight="1" spans="3:11">
      <c r="C78" s="4"/>
      <c r="D78" s="33" t="s">
        <v>108</v>
      </c>
      <c r="E78" s="28"/>
      <c r="F78" s="115">
        <f t="shared" ref="F78:H78" si="17">F76+F77</f>
        <v>2798.10547175229</v>
      </c>
      <c r="G78" s="115">
        <f t="shared" si="17"/>
        <v>273.200354256881</v>
      </c>
      <c r="H78" s="139">
        <f t="shared" si="17"/>
        <v>1366.00178829358</v>
      </c>
      <c r="I78" s="139"/>
      <c r="J78" s="139">
        <f>J76+J77</f>
        <v>1092.80142553211</v>
      </c>
      <c r="K78" s="139">
        <f>K76+K77</f>
        <v>66.1019036697248</v>
      </c>
    </row>
    <row r="79" ht="45" spans="3:10">
      <c r="C79" s="4"/>
      <c r="F79" s="22" t="s">
        <v>93</v>
      </c>
      <c r="G79" s="20" t="s">
        <v>16</v>
      </c>
      <c r="H79" s="106" t="s">
        <v>109</v>
      </c>
      <c r="I79" s="114" t="s">
        <v>110</v>
      </c>
      <c r="J79" s="114"/>
    </row>
    <row r="80" spans="3:10">
      <c r="C80" s="4"/>
      <c r="F80" s="28" t="s">
        <v>101</v>
      </c>
      <c r="G80" s="22" t="s">
        <v>102</v>
      </c>
      <c r="H80" s="115">
        <f>D8</f>
        <v>29471.4517431193</v>
      </c>
      <c r="I80" s="115">
        <v>-29471.45</v>
      </c>
      <c r="J80" s="115"/>
    </row>
    <row r="81" spans="3:10">
      <c r="C81" s="4"/>
      <c r="F81" s="99" t="s">
        <v>104</v>
      </c>
      <c r="G81" s="14">
        <v>0.07</v>
      </c>
      <c r="H81" s="116">
        <f>H80*G81</f>
        <v>2063.00162201835</v>
      </c>
      <c r="I81" s="116">
        <f>I80*G81</f>
        <v>-2063.0015</v>
      </c>
      <c r="J81" s="116"/>
    </row>
    <row r="82" spans="3:10">
      <c r="C82" s="4"/>
      <c r="F82" s="99" t="s">
        <v>106</v>
      </c>
      <c r="G82" s="14">
        <v>0.03</v>
      </c>
      <c r="H82" s="116">
        <f>H80*G82</f>
        <v>884.143552293579</v>
      </c>
      <c r="I82" s="116">
        <f>I80*G82</f>
        <v>-884.1435</v>
      </c>
      <c r="J82" s="116"/>
    </row>
    <row r="83" spans="3:10">
      <c r="C83" s="4"/>
      <c r="F83" s="99" t="s">
        <v>107</v>
      </c>
      <c r="G83" s="14">
        <v>0.02</v>
      </c>
      <c r="H83" s="116">
        <f>H80*G83</f>
        <v>589.429034862386</v>
      </c>
      <c r="I83" s="116">
        <f>I80*G83</f>
        <v>-589.429</v>
      </c>
      <c r="J83" s="116"/>
    </row>
    <row r="84" spans="3:10">
      <c r="C84" s="4"/>
      <c r="F84" s="33" t="s">
        <v>108</v>
      </c>
      <c r="G84" s="28"/>
      <c r="H84" s="117">
        <f>SUM(H80:H83)</f>
        <v>33008.0259522936</v>
      </c>
      <c r="I84" s="117">
        <f>SUM(I80:I83)</f>
        <v>-33008.024</v>
      </c>
      <c r="J84" s="117"/>
    </row>
    <row r="85" spans="3:10">
      <c r="C85" s="4"/>
      <c r="F85" s="14" t="s">
        <v>111</v>
      </c>
      <c r="G85" s="108">
        <v>0.25</v>
      </c>
      <c r="H85" s="14"/>
      <c r="I85" s="14"/>
      <c r="J85" s="14"/>
    </row>
    <row r="86" spans="3:3">
      <c r="C86" s="4"/>
    </row>
    <row r="87" spans="3:3">
      <c r="C87" s="4"/>
    </row>
    <row r="88" spans="3:8">
      <c r="C88" s="4"/>
      <c r="H88" s="5"/>
    </row>
    <row r="89" spans="3:3">
      <c r="C89" s="4"/>
    </row>
    <row r="90" spans="3:3">
      <c r="C90" s="4"/>
    </row>
    <row r="91" spans="3:3">
      <c r="C91" s="4"/>
    </row>
    <row r="92" spans="3:3">
      <c r="C92" s="4"/>
    </row>
    <row r="93" spans="3:3">
      <c r="C93" s="4"/>
    </row>
    <row r="94" spans="3:3">
      <c r="C94" s="4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"/>
  <sheetViews>
    <sheetView tabSelected="1" workbookViewId="0">
      <selection activeCell="J70" sqref="J70"/>
    </sheetView>
  </sheetViews>
  <sheetFormatPr defaultColWidth="9" defaultRowHeight="11.25"/>
  <cols>
    <col min="1" max="1" width="12.0666666666667" style="4" customWidth="1"/>
    <col min="2" max="2" width="12.0666666666667" style="5" customWidth="1"/>
    <col min="3" max="5" width="12.0666666666667" style="6" customWidth="1"/>
    <col min="6" max="7" width="12.0666666666667" style="5" customWidth="1"/>
    <col min="8" max="8" width="12.0666666666667" style="6" customWidth="1"/>
    <col min="9" max="9" width="12.0666666666667" style="5" customWidth="1"/>
    <col min="10" max="10" width="14" style="7" customWidth="1"/>
    <col min="11" max="11" width="25.125" style="1" customWidth="1"/>
    <col min="12" max="12" width="30.875" style="1" customWidth="1"/>
    <col min="13" max="13" width="20.125" style="1" customWidth="1"/>
    <col min="14" max="15" width="12.0666666666667" style="1" customWidth="1"/>
    <col min="16" max="16384" width="9" style="1"/>
  </cols>
  <sheetData>
    <row r="1" s="1" customFormat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9"/>
      <c r="L1" s="19"/>
    </row>
    <row r="2" s="1" customFormat="1" ht="18" customHeight="1" spans="1:12">
      <c r="A2" s="10" t="s">
        <v>1</v>
      </c>
      <c r="B2" s="11">
        <v>43979</v>
      </c>
      <c r="C2" s="12" t="s">
        <v>2</v>
      </c>
      <c r="D2" s="13">
        <v>3212388.23</v>
      </c>
      <c r="E2" s="14" t="s">
        <v>3</v>
      </c>
      <c r="F2" s="15" t="s">
        <v>4</v>
      </c>
      <c r="G2" s="16" t="s">
        <v>5</v>
      </c>
      <c r="H2" s="17" t="s">
        <v>6</v>
      </c>
      <c r="I2" s="58"/>
      <c r="J2" s="59"/>
      <c r="K2" s="19"/>
      <c r="L2" s="19"/>
    </row>
    <row r="3" s="1" customFormat="1" ht="18" customHeight="1" spans="1:12">
      <c r="A3" s="10" t="s">
        <v>7</v>
      </c>
      <c r="B3" s="18"/>
      <c r="C3" s="12" t="s">
        <v>8</v>
      </c>
      <c r="D3" s="12"/>
      <c r="E3" s="6"/>
      <c r="F3" s="5"/>
      <c r="G3" s="5"/>
      <c r="H3" s="19"/>
      <c r="I3" s="60"/>
      <c r="J3" s="19"/>
      <c r="K3" s="19"/>
      <c r="L3" s="19"/>
    </row>
    <row r="4" s="1" customFormat="1" ht="18" customHeight="1" spans="1:12">
      <c r="A4" s="4" t="s">
        <v>9</v>
      </c>
      <c r="B4" s="5"/>
      <c r="C4" s="6"/>
      <c r="D4" s="6"/>
      <c r="E4" s="6"/>
      <c r="F4" s="5"/>
      <c r="G4" s="5"/>
      <c r="H4" s="19"/>
      <c r="I4" s="60"/>
      <c r="J4" s="19"/>
      <c r="K4" s="19"/>
      <c r="L4" s="19"/>
    </row>
    <row r="5" s="1" customFormat="1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s="1" customFormat="1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s="1" customFormat="1" ht="18" customHeight="1" spans="1:14">
      <c r="A7" s="23">
        <v>44036</v>
      </c>
      <c r="B7" s="12">
        <f t="shared" ref="B7:B10" si="0">G7/(1+C7+E7)</f>
        <v>294714.513761468</v>
      </c>
      <c r="C7" s="24">
        <v>0.02</v>
      </c>
      <c r="D7" s="25">
        <f t="shared" ref="D7:D10" si="1">G7/(1+E7+C7)*C7</f>
        <v>5894.29027522936</v>
      </c>
      <c r="E7" s="26">
        <v>0.07</v>
      </c>
      <c r="F7" s="12">
        <f t="shared" ref="F7:F10" si="2">G7/(1+C7+E7)*E7</f>
        <v>20630.0159633028</v>
      </c>
      <c r="G7" s="27">
        <v>321238.82</v>
      </c>
      <c r="H7" s="23">
        <v>44041</v>
      </c>
      <c r="I7" s="12">
        <v>321238.82</v>
      </c>
      <c r="J7" s="61" t="s">
        <v>21</v>
      </c>
      <c r="N7" s="1" t="s">
        <v>22</v>
      </c>
    </row>
    <row r="8" s="1" customFormat="1" ht="18" customHeight="1" spans="1:10">
      <c r="A8" s="23">
        <v>44046</v>
      </c>
      <c r="B8" s="12">
        <f t="shared" si="0"/>
        <v>1473572.58715596</v>
      </c>
      <c r="C8" s="24">
        <v>0.02</v>
      </c>
      <c r="D8" s="25">
        <f t="shared" si="1"/>
        <v>29471.4517431193</v>
      </c>
      <c r="E8" s="26">
        <v>0.07</v>
      </c>
      <c r="F8" s="12">
        <f t="shared" si="2"/>
        <v>103150.081100917</v>
      </c>
      <c r="G8" s="27">
        <v>1606194.12</v>
      </c>
      <c r="H8" s="23">
        <v>44056</v>
      </c>
      <c r="I8" s="12">
        <v>1606194.12</v>
      </c>
      <c r="J8" s="61" t="s">
        <v>21</v>
      </c>
    </row>
    <row r="9" s="1" customFormat="1" ht="18" customHeight="1" spans="1:10">
      <c r="A9" s="23">
        <v>44153</v>
      </c>
      <c r="B9" s="12">
        <f t="shared" si="0"/>
        <v>1178858.06422018</v>
      </c>
      <c r="C9" s="24">
        <v>0.02</v>
      </c>
      <c r="D9" s="25">
        <f t="shared" si="1"/>
        <v>23577.1612844037</v>
      </c>
      <c r="E9" s="26">
        <v>0.07</v>
      </c>
      <c r="F9" s="12">
        <f t="shared" si="2"/>
        <v>82520.0644954129</v>
      </c>
      <c r="G9" s="27">
        <v>1284955.29</v>
      </c>
      <c r="H9" s="23">
        <v>44153</v>
      </c>
      <c r="I9" s="12">
        <v>1284955.29</v>
      </c>
      <c r="J9" s="61" t="s">
        <v>21</v>
      </c>
    </row>
    <row r="10" s="1" customFormat="1" ht="18" customHeight="1" spans="1:10">
      <c r="A10" s="23">
        <v>44174</v>
      </c>
      <c r="B10" s="12">
        <f t="shared" si="0"/>
        <v>71307.3394495413</v>
      </c>
      <c r="C10" s="26">
        <v>0.02</v>
      </c>
      <c r="D10" s="25">
        <f t="shared" si="1"/>
        <v>1426.14678899083</v>
      </c>
      <c r="E10" s="26">
        <v>0.07</v>
      </c>
      <c r="F10" s="12">
        <f t="shared" si="2"/>
        <v>4991.51376146789</v>
      </c>
      <c r="G10" s="27">
        <v>77725</v>
      </c>
      <c r="H10" s="23">
        <v>44187</v>
      </c>
      <c r="I10" s="12">
        <v>77725</v>
      </c>
      <c r="J10" s="61" t="s">
        <v>21</v>
      </c>
    </row>
    <row r="11" s="1" customFormat="1" ht="18" customHeight="1" spans="1:11">
      <c r="A11" s="28" t="s">
        <v>23</v>
      </c>
      <c r="B11" s="29">
        <f t="shared" ref="B11:G11" si="3">SUM(B7:B10)</f>
        <v>3018452.50458716</v>
      </c>
      <c r="C11" s="30"/>
      <c r="D11" s="30">
        <f t="shared" si="3"/>
        <v>60369.0500917431</v>
      </c>
      <c r="E11" s="30"/>
      <c r="F11" s="31">
        <f t="shared" si="3"/>
        <v>211291.675321101</v>
      </c>
      <c r="G11" s="30">
        <f t="shared" si="3"/>
        <v>3290113.23</v>
      </c>
      <c r="H11" s="32"/>
      <c r="I11" s="30">
        <f>SUM(I7:I10)</f>
        <v>3290113.23</v>
      </c>
      <c r="J11" s="32"/>
      <c r="K11" s="1" t="s">
        <v>24</v>
      </c>
    </row>
    <row r="12" s="1" customFormat="1" ht="18" customHeight="1" spans="1:12">
      <c r="A12" s="4" t="s">
        <v>25</v>
      </c>
      <c r="B12" s="5"/>
      <c r="C12" s="6"/>
      <c r="D12" s="6"/>
      <c r="E12" s="6"/>
      <c r="F12" s="5"/>
      <c r="G12" s="5"/>
      <c r="H12" s="6"/>
      <c r="I12" s="5"/>
      <c r="J12" s="6"/>
      <c r="K12" s="6"/>
      <c r="L12" s="7"/>
    </row>
    <row r="13" s="1" customFormat="1" ht="18" customHeight="1" spans="1:15">
      <c r="A13" s="33" t="s">
        <v>26</v>
      </c>
      <c r="B13" s="21" t="s">
        <v>27</v>
      </c>
      <c r="C13" s="20" t="s">
        <v>28</v>
      </c>
      <c r="D13" s="20" t="s">
        <v>29</v>
      </c>
      <c r="E13" s="20" t="s">
        <v>16</v>
      </c>
      <c r="F13" s="21" t="s">
        <v>30</v>
      </c>
      <c r="G13" s="21" t="s">
        <v>14</v>
      </c>
      <c r="H13" s="20" t="s">
        <v>31</v>
      </c>
      <c r="I13" s="21" t="s">
        <v>32</v>
      </c>
      <c r="J13" s="20" t="s">
        <v>20</v>
      </c>
      <c r="K13" s="62" t="s">
        <v>33</v>
      </c>
      <c r="L13" s="22" t="s">
        <v>34</v>
      </c>
      <c r="M13" s="22" t="s">
        <v>35</v>
      </c>
      <c r="N13" s="22" t="s">
        <v>36</v>
      </c>
      <c r="O13" s="22" t="s">
        <v>37</v>
      </c>
    </row>
    <row r="14" s="2" customFormat="1" ht="18" customHeight="1" spans="1:18">
      <c r="A14" s="34">
        <v>44032</v>
      </c>
      <c r="B14" s="35">
        <f t="shared" ref="B14:B26" si="4">ROUND(G14/(1+E14),2)</f>
        <v>606282.3</v>
      </c>
      <c r="C14" s="36">
        <v>7</v>
      </c>
      <c r="D14" s="37" t="s">
        <v>38</v>
      </c>
      <c r="E14" s="38">
        <v>0.13</v>
      </c>
      <c r="F14" s="39">
        <f t="shared" ref="F14:F24" si="5">ROUND(G14/(1+E14)*E14,2)</f>
        <v>78816.7</v>
      </c>
      <c r="G14" s="27">
        <v>685099</v>
      </c>
      <c r="H14" s="40">
        <v>44042</v>
      </c>
      <c r="I14" s="63">
        <v>314539.04</v>
      </c>
      <c r="J14" s="64" t="s">
        <v>39</v>
      </c>
      <c r="K14" s="65" t="s">
        <v>40</v>
      </c>
      <c r="L14" s="66" t="s">
        <v>41</v>
      </c>
      <c r="M14" s="67" t="s">
        <v>42</v>
      </c>
      <c r="N14" s="67"/>
      <c r="O14" s="68"/>
      <c r="R14" s="2" t="s">
        <v>22</v>
      </c>
    </row>
    <row r="15" s="2" customFormat="1" ht="18" customHeight="1" spans="1:15">
      <c r="A15" s="34">
        <v>44063</v>
      </c>
      <c r="B15" s="35">
        <f t="shared" si="4"/>
        <v>120787.43</v>
      </c>
      <c r="C15" s="36">
        <v>2</v>
      </c>
      <c r="D15" s="37" t="s">
        <v>38</v>
      </c>
      <c r="E15" s="38">
        <v>0.13</v>
      </c>
      <c r="F15" s="39">
        <f t="shared" si="5"/>
        <v>15702.37</v>
      </c>
      <c r="G15" s="41">
        <f>75127+61362.8</f>
        <v>136489.8</v>
      </c>
      <c r="H15" s="42">
        <v>44062</v>
      </c>
      <c r="I15" s="35">
        <v>370559.96</v>
      </c>
      <c r="J15" s="67" t="s">
        <v>39</v>
      </c>
      <c r="K15" s="69" t="s">
        <v>40</v>
      </c>
      <c r="L15" s="66"/>
      <c r="M15" s="67" t="s">
        <v>43</v>
      </c>
      <c r="N15" s="67"/>
      <c r="O15" s="68" t="s">
        <v>24</v>
      </c>
    </row>
    <row r="16" s="2" customFormat="1" ht="18" customHeight="1" spans="1:15">
      <c r="A16" s="43">
        <v>44063</v>
      </c>
      <c r="B16" s="44">
        <f t="shared" si="4"/>
        <v>138834.95</v>
      </c>
      <c r="C16" s="45">
        <v>6</v>
      </c>
      <c r="D16" s="46" t="s">
        <v>38</v>
      </c>
      <c r="E16" s="47">
        <v>0.03</v>
      </c>
      <c r="F16" s="44">
        <f t="shared" si="5"/>
        <v>4165.05</v>
      </c>
      <c r="G16" s="48">
        <v>143000</v>
      </c>
      <c r="H16" s="42">
        <v>44064</v>
      </c>
      <c r="I16" s="35">
        <v>143000</v>
      </c>
      <c r="J16" s="67" t="s">
        <v>39</v>
      </c>
      <c r="K16" s="69" t="s">
        <v>44</v>
      </c>
      <c r="L16" s="70" t="s">
        <v>45</v>
      </c>
      <c r="M16" s="71" t="s">
        <v>46</v>
      </c>
      <c r="N16" s="67"/>
      <c r="O16" s="66" t="s">
        <v>47</v>
      </c>
    </row>
    <row r="17" s="2" customFormat="1" ht="18" customHeight="1" spans="1:15">
      <c r="A17" s="34">
        <v>44063</v>
      </c>
      <c r="B17" s="35">
        <f t="shared" si="4"/>
        <v>605504.59</v>
      </c>
      <c r="C17" s="36">
        <v>7</v>
      </c>
      <c r="D17" s="37" t="s">
        <v>38</v>
      </c>
      <c r="E17" s="38">
        <v>0.09</v>
      </c>
      <c r="F17" s="39">
        <f t="shared" si="5"/>
        <v>54495.41</v>
      </c>
      <c r="G17" s="41">
        <f>600000+60000</f>
        <v>660000</v>
      </c>
      <c r="H17" s="42">
        <v>44067</v>
      </c>
      <c r="I17" s="35">
        <v>600000</v>
      </c>
      <c r="J17" s="67" t="s">
        <v>39</v>
      </c>
      <c r="K17" s="69" t="s">
        <v>48</v>
      </c>
      <c r="L17" s="70" t="s">
        <v>49</v>
      </c>
      <c r="M17" s="71" t="s">
        <v>50</v>
      </c>
      <c r="N17" s="67"/>
      <c r="O17" s="68"/>
    </row>
    <row r="18" s="2" customFormat="1" ht="18" customHeight="1" spans="1:15">
      <c r="A18" s="34">
        <v>44063</v>
      </c>
      <c r="B18" s="35">
        <f t="shared" si="4"/>
        <v>37988.94</v>
      </c>
      <c r="C18" s="36">
        <v>1</v>
      </c>
      <c r="D18" s="37" t="s">
        <v>38</v>
      </c>
      <c r="E18" s="38">
        <v>0.13</v>
      </c>
      <c r="F18" s="39">
        <f t="shared" si="5"/>
        <v>4938.56</v>
      </c>
      <c r="G18" s="41">
        <f>42927.5</f>
        <v>42927.5</v>
      </c>
      <c r="H18" s="42"/>
      <c r="I18" s="72"/>
      <c r="J18" s="67"/>
      <c r="K18" s="73" t="s">
        <v>51</v>
      </c>
      <c r="L18" s="70" t="s">
        <v>52</v>
      </c>
      <c r="M18" s="71" t="s">
        <v>53</v>
      </c>
      <c r="N18" s="67"/>
      <c r="O18" s="68"/>
    </row>
    <row r="19" s="2" customFormat="1" ht="18" customHeight="1" spans="1:15">
      <c r="A19" s="34">
        <v>44094</v>
      </c>
      <c r="B19" s="35">
        <f t="shared" si="4"/>
        <v>10112.12</v>
      </c>
      <c r="C19" s="36">
        <v>1</v>
      </c>
      <c r="D19" s="37" t="s">
        <v>38</v>
      </c>
      <c r="E19" s="38">
        <v>0.13</v>
      </c>
      <c r="F19" s="39">
        <f t="shared" si="5"/>
        <v>1314.58</v>
      </c>
      <c r="G19" s="41">
        <v>11426.7</v>
      </c>
      <c r="H19" s="42"/>
      <c r="I19" s="35"/>
      <c r="J19" s="67"/>
      <c r="K19" s="73" t="s">
        <v>51</v>
      </c>
      <c r="L19" s="70" t="s">
        <v>52</v>
      </c>
      <c r="M19" s="71" t="s">
        <v>53</v>
      </c>
      <c r="N19" s="67"/>
      <c r="O19" s="68"/>
    </row>
    <row r="20" s="2" customFormat="1" ht="18" customHeight="1" spans="1:15">
      <c r="A20" s="34">
        <v>44094</v>
      </c>
      <c r="B20" s="35">
        <f t="shared" si="4"/>
        <v>316996.02</v>
      </c>
      <c r="C20" s="36">
        <v>4</v>
      </c>
      <c r="D20" s="37" t="s">
        <v>38</v>
      </c>
      <c r="E20" s="38">
        <v>0.13</v>
      </c>
      <c r="F20" s="39">
        <f t="shared" si="5"/>
        <v>41209.48</v>
      </c>
      <c r="G20" s="41">
        <f>107559.4+103597.35+85792.5+61256.25</f>
        <v>358205.5</v>
      </c>
      <c r="H20" s="42"/>
      <c r="I20" s="72"/>
      <c r="J20" s="67"/>
      <c r="K20" s="73" t="s">
        <v>54</v>
      </c>
      <c r="L20" s="70" t="s">
        <v>55</v>
      </c>
      <c r="M20" s="71" t="s">
        <v>56</v>
      </c>
      <c r="N20" s="67"/>
      <c r="O20" s="68"/>
    </row>
    <row r="21" s="2" customFormat="1" ht="18" customHeight="1" spans="1:15">
      <c r="A21" s="34">
        <v>44094</v>
      </c>
      <c r="B21" s="35">
        <f t="shared" si="4"/>
        <v>52083.44</v>
      </c>
      <c r="C21" s="36">
        <v>1</v>
      </c>
      <c r="D21" s="37" t="s">
        <v>38</v>
      </c>
      <c r="E21" s="38">
        <v>0.13</v>
      </c>
      <c r="F21" s="39">
        <f t="shared" si="5"/>
        <v>6770.85</v>
      </c>
      <c r="G21" s="41">
        <v>58854.29</v>
      </c>
      <c r="H21" s="42">
        <v>44088</v>
      </c>
      <c r="I21" s="35">
        <v>58854.29</v>
      </c>
      <c r="J21" s="67" t="s">
        <v>39</v>
      </c>
      <c r="K21" s="69" t="s">
        <v>57</v>
      </c>
      <c r="L21" s="70" t="s">
        <v>58</v>
      </c>
      <c r="M21" s="71" t="s">
        <v>59</v>
      </c>
      <c r="N21" s="67"/>
      <c r="O21" s="68"/>
    </row>
    <row r="22" s="2" customFormat="1" ht="18" customHeight="1" spans="1:15">
      <c r="A22" s="34">
        <v>44155</v>
      </c>
      <c r="B22" s="35">
        <f t="shared" si="4"/>
        <v>85675.8</v>
      </c>
      <c r="C22" s="36">
        <v>1</v>
      </c>
      <c r="D22" s="37" t="s">
        <v>38</v>
      </c>
      <c r="E22" s="38">
        <v>0.09</v>
      </c>
      <c r="F22" s="39">
        <f t="shared" si="5"/>
        <v>7710.82</v>
      </c>
      <c r="G22" s="41">
        <v>93386.62</v>
      </c>
      <c r="H22" s="42"/>
      <c r="I22" s="35"/>
      <c r="J22" s="67"/>
      <c r="K22" s="69" t="s">
        <v>48</v>
      </c>
      <c r="L22" s="70" t="s">
        <v>49</v>
      </c>
      <c r="M22" s="71" t="s">
        <v>50</v>
      </c>
      <c r="N22" s="67"/>
      <c r="O22" s="68"/>
    </row>
    <row r="23" s="2" customFormat="1" ht="18" customHeight="1" spans="1:15">
      <c r="A23" s="34"/>
      <c r="B23" s="35">
        <f t="shared" si="4"/>
        <v>0</v>
      </c>
      <c r="C23" s="36"/>
      <c r="D23" s="37"/>
      <c r="E23" s="38"/>
      <c r="F23" s="39">
        <f t="shared" si="5"/>
        <v>0</v>
      </c>
      <c r="G23" s="41"/>
      <c r="H23" s="42">
        <v>44095</v>
      </c>
      <c r="I23" s="35">
        <v>54354.2</v>
      </c>
      <c r="J23" s="67" t="s">
        <v>39</v>
      </c>
      <c r="K23" s="73" t="s">
        <v>51</v>
      </c>
      <c r="L23" s="70" t="s">
        <v>52</v>
      </c>
      <c r="M23" s="71"/>
      <c r="N23" s="67"/>
      <c r="O23" s="68"/>
    </row>
    <row r="24" s="2" customFormat="1" ht="18" customHeight="1" spans="1:15">
      <c r="A24" s="34"/>
      <c r="B24" s="35">
        <f t="shared" si="4"/>
        <v>0</v>
      </c>
      <c r="C24" s="36"/>
      <c r="D24" s="37"/>
      <c r="E24" s="38"/>
      <c r="F24" s="39">
        <f t="shared" si="5"/>
        <v>0</v>
      </c>
      <c r="G24" s="41"/>
      <c r="H24" s="42">
        <v>44095</v>
      </c>
      <c r="I24" s="35">
        <v>170205.5</v>
      </c>
      <c r="J24" s="67" t="s">
        <v>39</v>
      </c>
      <c r="K24" s="73" t="s">
        <v>54</v>
      </c>
      <c r="L24" s="70" t="s">
        <v>55</v>
      </c>
      <c r="M24" s="71"/>
      <c r="N24" s="67"/>
      <c r="O24" s="68"/>
    </row>
    <row r="25" s="2" customFormat="1" ht="18" customHeight="1" spans="1:15">
      <c r="A25" s="34"/>
      <c r="B25" s="35">
        <f t="shared" si="4"/>
        <v>0</v>
      </c>
      <c r="C25" s="36"/>
      <c r="D25" s="37"/>
      <c r="E25" s="38"/>
      <c r="F25" s="39">
        <v>0</v>
      </c>
      <c r="G25" s="41"/>
      <c r="H25" s="42">
        <v>44095</v>
      </c>
      <c r="I25" s="35">
        <v>136489.8</v>
      </c>
      <c r="J25" s="67" t="s">
        <v>39</v>
      </c>
      <c r="K25" s="69" t="s">
        <v>40</v>
      </c>
      <c r="L25" s="70" t="s">
        <v>60</v>
      </c>
      <c r="M25" s="71"/>
      <c r="N25" s="67"/>
      <c r="O25" s="68"/>
    </row>
    <row r="26" s="2" customFormat="1" ht="18" customHeight="1" spans="1:15">
      <c r="A26" s="34"/>
      <c r="B26" s="35">
        <f t="shared" si="4"/>
        <v>0</v>
      </c>
      <c r="C26" s="36"/>
      <c r="D26" s="37"/>
      <c r="E26" s="38"/>
      <c r="F26" s="39">
        <v>0</v>
      </c>
      <c r="G26" s="41"/>
      <c r="H26" s="42">
        <v>44152</v>
      </c>
      <c r="I26" s="35">
        <v>-60000</v>
      </c>
      <c r="J26" s="67" t="s">
        <v>61</v>
      </c>
      <c r="K26" s="69" t="s">
        <v>62</v>
      </c>
      <c r="L26" s="70"/>
      <c r="M26" s="71"/>
      <c r="N26" s="67"/>
      <c r="O26" s="68"/>
    </row>
    <row r="27" s="2" customFormat="1" ht="18" customHeight="1" spans="1:15">
      <c r="A27" s="34"/>
      <c r="B27" s="35"/>
      <c r="C27" s="36"/>
      <c r="D27" s="37"/>
      <c r="E27" s="38" t="s">
        <v>22</v>
      </c>
      <c r="F27" s="39">
        <v>0</v>
      </c>
      <c r="G27" s="41"/>
      <c r="H27" s="42">
        <v>44153</v>
      </c>
      <c r="I27" s="35">
        <v>96371.65</v>
      </c>
      <c r="J27" s="67" t="s">
        <v>39</v>
      </c>
      <c r="K27" s="69" t="s">
        <v>6</v>
      </c>
      <c r="L27" s="70" t="s">
        <v>63</v>
      </c>
      <c r="M27" s="71"/>
      <c r="N27" s="67"/>
      <c r="O27" s="68"/>
    </row>
    <row r="28" s="2" customFormat="1" ht="18" customHeight="1" spans="1:15">
      <c r="A28" s="34"/>
      <c r="B28" s="35">
        <f>ROUND(G28/(1+E28),2)</f>
        <v>0</v>
      </c>
      <c r="C28" s="36"/>
      <c r="D28" s="37"/>
      <c r="E28" s="38"/>
      <c r="F28" s="39">
        <v>0</v>
      </c>
      <c r="G28" s="41"/>
      <c r="H28" s="42">
        <v>44165</v>
      </c>
      <c r="I28" s="35">
        <v>153386.62</v>
      </c>
      <c r="J28" s="67" t="s">
        <v>39</v>
      </c>
      <c r="K28" s="74" t="s">
        <v>48</v>
      </c>
      <c r="L28" s="70"/>
      <c r="M28" s="71"/>
      <c r="N28" s="67"/>
      <c r="O28" s="68"/>
    </row>
    <row r="29" s="2" customFormat="1" ht="18" customHeight="1" spans="1:15">
      <c r="A29" s="34"/>
      <c r="B29" s="35">
        <f>ROUND(G29/(1+E29),2)</f>
        <v>0</v>
      </c>
      <c r="C29" s="36"/>
      <c r="D29" s="37"/>
      <c r="E29" s="38"/>
      <c r="F29" s="39">
        <v>0</v>
      </c>
      <c r="G29" s="41"/>
      <c r="H29" s="42">
        <v>44165</v>
      </c>
      <c r="I29" s="75">
        <v>188000</v>
      </c>
      <c r="J29" s="67" t="s">
        <v>39</v>
      </c>
      <c r="K29" s="74" t="s">
        <v>54</v>
      </c>
      <c r="L29" s="70"/>
      <c r="M29" s="71"/>
      <c r="N29" s="67"/>
      <c r="O29" s="68"/>
    </row>
    <row r="30" s="2" customFormat="1" ht="18" customHeight="1" spans="1:15">
      <c r="A30" s="34"/>
      <c r="B30" s="35">
        <f>ROUND(G30/(1+E30),2)</f>
        <v>0</v>
      </c>
      <c r="C30" s="36"/>
      <c r="D30" s="37"/>
      <c r="E30" s="38"/>
      <c r="F30" s="39">
        <v>0</v>
      </c>
      <c r="G30" s="41"/>
      <c r="H30" s="42">
        <v>44196</v>
      </c>
      <c r="I30" s="75">
        <v>251670</v>
      </c>
      <c r="J30" s="67" t="s">
        <v>39</v>
      </c>
      <c r="K30" s="74" t="s">
        <v>64</v>
      </c>
      <c r="L30" s="76">
        <v>480500.68</v>
      </c>
      <c r="M30" s="71"/>
      <c r="N30" s="67"/>
      <c r="O30" s="68"/>
    </row>
    <row r="31" s="2" customFormat="1" ht="18" customHeight="1" spans="1:15">
      <c r="A31" s="34"/>
      <c r="B31" s="35">
        <f>ROUND(G31/(1+E31),2)</f>
        <v>0</v>
      </c>
      <c r="C31" s="36"/>
      <c r="D31" s="37"/>
      <c r="E31" s="38"/>
      <c r="F31" s="39">
        <v>0</v>
      </c>
      <c r="G31" s="41"/>
      <c r="H31" s="42">
        <v>44217</v>
      </c>
      <c r="I31" s="75">
        <v>226840.51</v>
      </c>
      <c r="J31" s="67" t="s">
        <v>39</v>
      </c>
      <c r="K31" s="74" t="s">
        <v>64</v>
      </c>
      <c r="L31" s="76"/>
      <c r="M31" s="71"/>
      <c r="N31" s="67"/>
      <c r="O31" s="68"/>
    </row>
    <row r="32" s="2" customFormat="1" ht="18" customHeight="1" spans="1:15">
      <c r="A32" s="34"/>
      <c r="B32" s="35">
        <f>ROUND(G32/(1+E32),2)</f>
        <v>0</v>
      </c>
      <c r="C32" s="36"/>
      <c r="D32" s="37"/>
      <c r="E32" s="38"/>
      <c r="F32" s="39">
        <v>0</v>
      </c>
      <c r="G32" s="41"/>
      <c r="H32" s="42">
        <v>44234</v>
      </c>
      <c r="I32" s="75">
        <v>122103.33</v>
      </c>
      <c r="J32" s="67" t="s">
        <v>39</v>
      </c>
      <c r="K32" s="74" t="s">
        <v>64</v>
      </c>
      <c r="L32" s="76">
        <v>123333.33</v>
      </c>
      <c r="M32" s="71"/>
      <c r="N32" s="67"/>
      <c r="O32" s="68"/>
    </row>
    <row r="33" s="2" customFormat="1" ht="18" customHeight="1" spans="1:15">
      <c r="A33" s="34"/>
      <c r="B33" s="49"/>
      <c r="C33" s="36"/>
      <c r="D33" s="37"/>
      <c r="E33" s="38"/>
      <c r="F33" s="39"/>
      <c r="G33" s="50"/>
      <c r="H33" s="42"/>
      <c r="I33" s="75"/>
      <c r="J33" s="67"/>
      <c r="K33" s="74"/>
      <c r="L33" s="70"/>
      <c r="M33" s="77"/>
      <c r="N33" s="67"/>
      <c r="O33" s="68"/>
    </row>
    <row r="34" s="2" customFormat="1" ht="18" customHeight="1" spans="1:15">
      <c r="A34" s="34"/>
      <c r="B34" s="49"/>
      <c r="C34" s="36"/>
      <c r="D34" s="37"/>
      <c r="E34" s="38"/>
      <c r="F34" s="39"/>
      <c r="G34" s="50"/>
      <c r="H34" s="42"/>
      <c r="I34" s="75"/>
      <c r="J34" s="67"/>
      <c r="K34" s="74"/>
      <c r="L34" s="70"/>
      <c r="M34" s="77"/>
      <c r="N34" s="67"/>
      <c r="O34" s="68"/>
    </row>
    <row r="35" s="2" customFormat="1" ht="18" customHeight="1" spans="1:15">
      <c r="A35" s="34"/>
      <c r="B35" s="49"/>
      <c r="C35" s="36"/>
      <c r="D35" s="37"/>
      <c r="E35" s="38"/>
      <c r="F35" s="39"/>
      <c r="G35" s="50"/>
      <c r="H35" s="42"/>
      <c r="I35" s="75"/>
      <c r="J35" s="67"/>
      <c r="K35" s="74"/>
      <c r="L35" s="70"/>
      <c r="M35" s="77"/>
      <c r="N35" s="67"/>
      <c r="O35" s="68"/>
    </row>
    <row r="36" s="2" customFormat="1" ht="18" customHeight="1" spans="1:15">
      <c r="A36" s="34"/>
      <c r="B36" s="49"/>
      <c r="C36" s="36"/>
      <c r="D36" s="37"/>
      <c r="E36" s="38"/>
      <c r="F36" s="39"/>
      <c r="G36" s="50"/>
      <c r="H36" s="42"/>
      <c r="I36" s="75"/>
      <c r="J36" s="67"/>
      <c r="K36" s="74"/>
      <c r="L36" s="70"/>
      <c r="M36" s="77"/>
      <c r="N36" s="67"/>
      <c r="O36" s="68"/>
    </row>
    <row r="37" s="2" customFormat="1" ht="18" customHeight="1" spans="1:15">
      <c r="A37" s="34"/>
      <c r="B37" s="49"/>
      <c r="C37" s="36"/>
      <c r="D37" s="37"/>
      <c r="E37" s="38"/>
      <c r="F37" s="39"/>
      <c r="G37" s="50"/>
      <c r="H37" s="42"/>
      <c r="I37" s="75"/>
      <c r="J37" s="67"/>
      <c r="K37" s="74"/>
      <c r="L37" s="70"/>
      <c r="M37" s="77"/>
      <c r="N37" s="67"/>
      <c r="O37" s="68"/>
    </row>
    <row r="38" s="2" customFormat="1" ht="18" customHeight="1" spans="1:15">
      <c r="A38" s="34"/>
      <c r="B38" s="49"/>
      <c r="C38" s="36"/>
      <c r="D38" s="37"/>
      <c r="E38" s="38"/>
      <c r="F38" s="39"/>
      <c r="G38" s="50"/>
      <c r="H38" s="42"/>
      <c r="I38" s="75"/>
      <c r="J38" s="67"/>
      <c r="K38" s="74"/>
      <c r="L38" s="70"/>
      <c r="M38" s="77"/>
      <c r="N38" s="67"/>
      <c r="O38" s="68"/>
    </row>
    <row r="39" s="2" customFormat="1" ht="18" customHeight="1" spans="1:15">
      <c r="A39" s="34"/>
      <c r="B39" s="49"/>
      <c r="C39" s="36"/>
      <c r="D39" s="37"/>
      <c r="E39" s="38"/>
      <c r="F39" s="39"/>
      <c r="G39" s="50"/>
      <c r="H39" s="42"/>
      <c r="I39" s="75"/>
      <c r="J39" s="67"/>
      <c r="K39" s="74"/>
      <c r="L39" s="70"/>
      <c r="M39" s="77"/>
      <c r="N39" s="67"/>
      <c r="O39" s="68"/>
    </row>
    <row r="40" s="2" customFormat="1" ht="18" customHeight="1" spans="1:15">
      <c r="A40" s="34"/>
      <c r="B40" s="49"/>
      <c r="C40" s="36"/>
      <c r="D40" s="37"/>
      <c r="E40" s="38"/>
      <c r="F40" s="39"/>
      <c r="G40" s="50"/>
      <c r="H40" s="42"/>
      <c r="I40" s="75"/>
      <c r="J40" s="67"/>
      <c r="K40" s="74"/>
      <c r="L40" s="70"/>
      <c r="M40" s="77"/>
      <c r="N40" s="67"/>
      <c r="O40" s="68"/>
    </row>
    <row r="41" s="2" customFormat="1" ht="18" customHeight="1" spans="1:15">
      <c r="A41" s="34"/>
      <c r="B41" s="49"/>
      <c r="C41" s="36"/>
      <c r="D41" s="37"/>
      <c r="E41" s="38"/>
      <c r="F41" s="39"/>
      <c r="G41" s="50"/>
      <c r="H41" s="42"/>
      <c r="I41" s="75"/>
      <c r="J41" s="67"/>
      <c r="K41" s="74"/>
      <c r="L41" s="70"/>
      <c r="M41" s="77"/>
      <c r="N41" s="67"/>
      <c r="O41" s="68"/>
    </row>
    <row r="42" s="2" customFormat="1" ht="18" customHeight="1" spans="1:15">
      <c r="A42" s="34"/>
      <c r="B42" s="49"/>
      <c r="C42" s="36"/>
      <c r="D42" s="37"/>
      <c r="E42" s="38"/>
      <c r="F42" s="39"/>
      <c r="G42" s="50"/>
      <c r="H42" s="42"/>
      <c r="I42" s="75"/>
      <c r="J42" s="67"/>
      <c r="K42" s="74"/>
      <c r="L42" s="70"/>
      <c r="M42" s="77"/>
      <c r="N42" s="67"/>
      <c r="O42" s="68"/>
    </row>
    <row r="43" s="2" customFormat="1" ht="18" customHeight="1" spans="1:15">
      <c r="A43" s="34"/>
      <c r="B43" s="35">
        <f t="shared" ref="B43:B48" si="6">ROUND(G43/(1+E43),2)</f>
        <v>0</v>
      </c>
      <c r="C43" s="36"/>
      <c r="D43" s="37"/>
      <c r="E43" s="38"/>
      <c r="F43" s="39">
        <v>0</v>
      </c>
      <c r="G43" s="41"/>
      <c r="H43" s="51" t="s">
        <v>65</v>
      </c>
      <c r="I43" s="75">
        <v>1990.17</v>
      </c>
      <c r="J43" s="78" t="s">
        <v>66</v>
      </c>
      <c r="K43" s="74" t="s">
        <v>67</v>
      </c>
      <c r="L43" s="70"/>
      <c r="M43" s="77"/>
      <c r="N43" s="67"/>
      <c r="O43" s="68"/>
    </row>
    <row r="44" s="2" customFormat="1" ht="18" customHeight="1" spans="1:15">
      <c r="A44" s="34"/>
      <c r="B44" s="35">
        <f t="shared" si="6"/>
        <v>0</v>
      </c>
      <c r="C44" s="36"/>
      <c r="D44" s="37"/>
      <c r="E44" s="38"/>
      <c r="F44" s="39">
        <v>0</v>
      </c>
      <c r="G44" s="41"/>
      <c r="H44" s="51" t="s">
        <v>65</v>
      </c>
      <c r="I44" s="75">
        <v>1230</v>
      </c>
      <c r="J44" s="78" t="s">
        <v>66</v>
      </c>
      <c r="K44" s="74" t="s">
        <v>67</v>
      </c>
      <c r="L44" s="70"/>
      <c r="M44" s="77"/>
      <c r="N44" s="67"/>
      <c r="O44" s="68"/>
    </row>
    <row r="45" s="2" customFormat="1" ht="18" customHeight="1" spans="1:15">
      <c r="A45" s="34"/>
      <c r="B45" s="35">
        <f t="shared" si="6"/>
        <v>0</v>
      </c>
      <c r="C45" s="36"/>
      <c r="D45" s="37"/>
      <c r="E45" s="38"/>
      <c r="F45" s="39">
        <v>0</v>
      </c>
      <c r="G45" s="41"/>
      <c r="H45" s="51" t="s">
        <v>65</v>
      </c>
      <c r="I45" s="75">
        <v>6166.67</v>
      </c>
      <c r="J45" s="78" t="s">
        <v>66</v>
      </c>
      <c r="K45" s="74" t="s">
        <v>68</v>
      </c>
      <c r="L45" s="70"/>
      <c r="M45" s="77"/>
      <c r="N45" s="67"/>
      <c r="O45" s="68"/>
    </row>
    <row r="46" s="2" customFormat="1" ht="18" customHeight="1" spans="1:15">
      <c r="A46" s="34"/>
      <c r="B46" s="35">
        <f t="shared" si="6"/>
        <v>0</v>
      </c>
      <c r="C46" s="36"/>
      <c r="D46" s="37"/>
      <c r="E46" s="38"/>
      <c r="F46" s="39">
        <v>0</v>
      </c>
      <c r="G46" s="41"/>
      <c r="H46" s="51" t="s">
        <v>65</v>
      </c>
      <c r="I46" s="75">
        <v>50</v>
      </c>
      <c r="J46" s="78" t="s">
        <v>66</v>
      </c>
      <c r="K46" s="73" t="s">
        <v>69</v>
      </c>
      <c r="L46" s="70"/>
      <c r="M46" s="77"/>
      <c r="N46" s="67"/>
      <c r="O46" s="68"/>
    </row>
    <row r="47" s="2" customFormat="1" ht="18" customHeight="1" spans="1:15">
      <c r="A47" s="34"/>
      <c r="B47" s="35">
        <f t="shared" si="6"/>
        <v>0</v>
      </c>
      <c r="C47" s="36"/>
      <c r="D47" s="37"/>
      <c r="E47" s="38"/>
      <c r="F47" s="39">
        <v>0</v>
      </c>
      <c r="G47" s="41"/>
      <c r="H47" s="51" t="s">
        <v>65</v>
      </c>
      <c r="I47" s="75">
        <v>24025.23</v>
      </c>
      <c r="J47" s="78" t="s">
        <v>66</v>
      </c>
      <c r="K47" s="74" t="s">
        <v>68</v>
      </c>
      <c r="L47" s="70"/>
      <c r="M47" s="77"/>
      <c r="N47" s="67"/>
      <c r="O47" s="68"/>
    </row>
    <row r="48" s="2" customFormat="1" ht="18" customHeight="1" spans="1:15">
      <c r="A48" s="34"/>
      <c r="B48" s="35">
        <f t="shared" si="6"/>
        <v>0</v>
      </c>
      <c r="C48" s="36"/>
      <c r="D48" s="37"/>
      <c r="E48" s="38"/>
      <c r="F48" s="39">
        <v>0</v>
      </c>
      <c r="G48" s="41"/>
      <c r="H48" s="51" t="s">
        <v>65</v>
      </c>
      <c r="I48" s="79">
        <v>66.1019036697248</v>
      </c>
      <c r="J48" s="78" t="s">
        <v>66</v>
      </c>
      <c r="K48" s="80" t="s">
        <v>70</v>
      </c>
      <c r="L48" s="70"/>
      <c r="M48" s="77"/>
      <c r="N48" s="67"/>
      <c r="O48" s="68"/>
    </row>
    <row r="49" s="2" customFormat="1" ht="18" customHeight="1" spans="1:15">
      <c r="A49" s="34"/>
      <c r="B49" s="35">
        <v>0</v>
      </c>
      <c r="C49" s="36"/>
      <c r="D49" s="37"/>
      <c r="E49" s="38"/>
      <c r="F49" s="39">
        <v>0</v>
      </c>
      <c r="G49" s="41"/>
      <c r="H49" s="51" t="s">
        <v>65</v>
      </c>
      <c r="I49" s="79">
        <v>777.25</v>
      </c>
      <c r="J49" s="78" t="s">
        <v>66</v>
      </c>
      <c r="K49" s="80" t="s">
        <v>71</v>
      </c>
      <c r="L49" s="70"/>
      <c r="M49" s="77"/>
      <c r="N49" s="67"/>
      <c r="O49" s="68"/>
    </row>
    <row r="50" s="2" customFormat="1" ht="18" customHeight="1" spans="1:16">
      <c r="A50" s="34"/>
      <c r="B50" s="35">
        <v>0</v>
      </c>
      <c r="C50" s="36"/>
      <c r="D50" s="37"/>
      <c r="E50" s="38"/>
      <c r="F50" s="39">
        <v>0</v>
      </c>
      <c r="G50" s="41"/>
      <c r="H50" s="51" t="s">
        <v>65</v>
      </c>
      <c r="I50" s="79">
        <v>1597.28440366973</v>
      </c>
      <c r="J50" s="78" t="s">
        <v>66</v>
      </c>
      <c r="K50" s="80" t="s">
        <v>72</v>
      </c>
      <c r="L50" s="70"/>
      <c r="M50" s="77"/>
      <c r="N50" s="67"/>
      <c r="O50" s="68"/>
      <c r="P50" s="2">
        <f>I32+I44</f>
        <v>123333.33</v>
      </c>
    </row>
    <row r="51" s="2" customFormat="1" ht="18" customHeight="1" spans="1:15">
      <c r="A51" s="34"/>
      <c r="B51" s="35">
        <v>0</v>
      </c>
      <c r="C51" s="36"/>
      <c r="D51" s="37"/>
      <c r="E51" s="38"/>
      <c r="F51" s="39">
        <v>0</v>
      </c>
      <c r="G51" s="41">
        <f>I51</f>
        <v>777.25</v>
      </c>
      <c r="H51" s="51" t="s">
        <v>65</v>
      </c>
      <c r="I51" s="79">
        <v>777.25</v>
      </c>
      <c r="J51" s="78" t="s">
        <v>66</v>
      </c>
      <c r="K51" s="80" t="s">
        <v>73</v>
      </c>
      <c r="L51" s="70"/>
      <c r="M51" s="77"/>
      <c r="N51" s="67"/>
      <c r="O51" s="68"/>
    </row>
    <row r="52" s="2" customFormat="1" ht="18" customHeight="1" spans="1:15">
      <c r="A52" s="34"/>
      <c r="B52" s="35">
        <v>0</v>
      </c>
      <c r="C52" s="36"/>
      <c r="D52" s="37"/>
      <c r="E52" s="38"/>
      <c r="F52" s="39">
        <f t="shared" ref="F52:F74" si="7">ROUND(G52/(1+E52)*E52,2)</f>
        <v>0</v>
      </c>
      <c r="G52" s="41"/>
      <c r="H52" s="42" t="s">
        <v>74</v>
      </c>
      <c r="I52" s="79">
        <v>100</v>
      </c>
      <c r="J52" s="78" t="s">
        <v>66</v>
      </c>
      <c r="K52" s="80" t="s">
        <v>69</v>
      </c>
      <c r="L52" s="70"/>
      <c r="M52" s="77"/>
      <c r="N52" s="67"/>
      <c r="O52" s="68"/>
    </row>
    <row r="53" s="2" customFormat="1" ht="18" customHeight="1" spans="1:15">
      <c r="A53" s="34"/>
      <c r="B53" s="35">
        <f t="shared" ref="B53:B74" si="8">ROUND(G53/(1+E53),2)</f>
        <v>0</v>
      </c>
      <c r="C53" s="36"/>
      <c r="D53" s="37"/>
      <c r="E53" s="38"/>
      <c r="F53" s="39">
        <f t="shared" si="7"/>
        <v>0</v>
      </c>
      <c r="G53" s="41"/>
      <c r="H53" s="42" t="s">
        <v>74</v>
      </c>
      <c r="I53" s="35">
        <v>227136.41</v>
      </c>
      <c r="J53" s="81" t="s">
        <v>75</v>
      </c>
      <c r="K53" s="82" t="s">
        <v>76</v>
      </c>
      <c r="L53" s="70"/>
      <c r="M53" s="77"/>
      <c r="N53" s="67"/>
      <c r="O53" s="68"/>
    </row>
    <row r="54" s="2" customFormat="1" ht="18" customHeight="1" spans="1:15">
      <c r="A54" s="34"/>
      <c r="B54" s="35">
        <f t="shared" si="8"/>
        <v>0</v>
      </c>
      <c r="C54" s="36"/>
      <c r="D54" s="37"/>
      <c r="E54" s="38"/>
      <c r="F54" s="39">
        <f t="shared" si="7"/>
        <v>0</v>
      </c>
      <c r="G54" s="41"/>
      <c r="H54" s="42" t="s">
        <v>74</v>
      </c>
      <c r="I54" s="35">
        <v>1092.8</v>
      </c>
      <c r="J54" s="67" t="s">
        <v>66</v>
      </c>
      <c r="K54" s="83" t="s">
        <v>77</v>
      </c>
      <c r="L54" s="70"/>
      <c r="M54" s="84"/>
      <c r="N54" s="67"/>
      <c r="O54" s="68"/>
    </row>
    <row r="55" s="2" customFormat="1" ht="18" customHeight="1" spans="1:15">
      <c r="A55" s="34"/>
      <c r="B55" s="35">
        <f t="shared" si="8"/>
        <v>0</v>
      </c>
      <c r="C55" s="36"/>
      <c r="D55" s="37"/>
      <c r="E55" s="38"/>
      <c r="F55" s="39">
        <f t="shared" si="7"/>
        <v>0</v>
      </c>
      <c r="G55" s="41"/>
      <c r="H55" s="42" t="s">
        <v>74</v>
      </c>
      <c r="I55" s="35">
        <v>12849.55</v>
      </c>
      <c r="J55" s="67" t="s">
        <v>66</v>
      </c>
      <c r="K55" s="83" t="s">
        <v>78</v>
      </c>
      <c r="L55" s="70"/>
      <c r="M55" s="84"/>
      <c r="N55" s="67"/>
      <c r="O55" s="68"/>
    </row>
    <row r="56" s="2" customFormat="1" ht="18" customHeight="1" spans="1:15">
      <c r="A56" s="34"/>
      <c r="B56" s="35">
        <f t="shared" si="8"/>
        <v>12849.55</v>
      </c>
      <c r="C56" s="36"/>
      <c r="D56" s="37"/>
      <c r="E56" s="38"/>
      <c r="F56" s="39">
        <f t="shared" si="7"/>
        <v>0</v>
      </c>
      <c r="G56" s="41">
        <f>I56</f>
        <v>12849.55</v>
      </c>
      <c r="H56" s="42" t="s">
        <v>74</v>
      </c>
      <c r="I56" s="35">
        <v>12849.55</v>
      </c>
      <c r="J56" s="67" t="s">
        <v>66</v>
      </c>
      <c r="K56" s="83" t="s">
        <v>79</v>
      </c>
      <c r="L56" s="70"/>
      <c r="M56" s="84"/>
      <c r="N56" s="67"/>
      <c r="O56" s="68"/>
    </row>
    <row r="57" s="2" customFormat="1" ht="18" customHeight="1" spans="1:15">
      <c r="A57" s="34"/>
      <c r="B57" s="35">
        <f t="shared" si="8"/>
        <v>0</v>
      </c>
      <c r="C57" s="36"/>
      <c r="D57" s="37"/>
      <c r="E57" s="38"/>
      <c r="F57" s="39">
        <f t="shared" si="7"/>
        <v>0</v>
      </c>
      <c r="G57" s="41"/>
      <c r="H57" s="42" t="s">
        <v>80</v>
      </c>
      <c r="I57" s="35">
        <v>50</v>
      </c>
      <c r="J57" s="67" t="s">
        <v>66</v>
      </c>
      <c r="K57" s="85" t="s">
        <v>69</v>
      </c>
      <c r="L57" s="70"/>
      <c r="M57" s="84"/>
      <c r="N57" s="67"/>
      <c r="O57" s="68"/>
    </row>
    <row r="58" s="2" customFormat="1" ht="18" customHeight="1" spans="1:15">
      <c r="A58" s="34"/>
      <c r="B58" s="35">
        <f t="shared" si="8"/>
        <v>0</v>
      </c>
      <c r="C58" s="36"/>
      <c r="D58" s="37"/>
      <c r="E58" s="38"/>
      <c r="F58" s="39">
        <f t="shared" si="7"/>
        <v>0</v>
      </c>
      <c r="G58" s="41"/>
      <c r="H58" s="42" t="s">
        <v>80</v>
      </c>
      <c r="I58" s="35">
        <v>-33008</v>
      </c>
      <c r="J58" s="67" t="s">
        <v>81</v>
      </c>
      <c r="K58" s="86" t="s">
        <v>82</v>
      </c>
      <c r="L58" s="70"/>
      <c r="M58" s="84"/>
      <c r="N58" s="67"/>
      <c r="O58" s="68"/>
    </row>
    <row r="59" s="2" customFormat="1" ht="18" customHeight="1" spans="1:15">
      <c r="A59" s="34"/>
      <c r="B59" s="35">
        <f t="shared" si="8"/>
        <v>0</v>
      </c>
      <c r="C59" s="36"/>
      <c r="D59" s="37" t="s">
        <v>24</v>
      </c>
      <c r="E59" s="38"/>
      <c r="F59" s="39">
        <f t="shared" si="7"/>
        <v>0</v>
      </c>
      <c r="G59" s="41"/>
      <c r="H59" s="42" t="s">
        <v>80</v>
      </c>
      <c r="I59" s="35">
        <v>250</v>
      </c>
      <c r="J59" s="67" t="s">
        <v>66</v>
      </c>
      <c r="K59" s="85" t="s">
        <v>69</v>
      </c>
      <c r="L59" s="70"/>
      <c r="M59" s="84"/>
      <c r="N59" s="67"/>
      <c r="O59" s="68"/>
    </row>
    <row r="60" s="3" customFormat="1" ht="18" customHeight="1" spans="1:15">
      <c r="A60" s="52"/>
      <c r="B60" s="35">
        <f t="shared" si="8"/>
        <v>0</v>
      </c>
      <c r="C60" s="53"/>
      <c r="D60" s="54"/>
      <c r="E60" s="55"/>
      <c r="F60" s="39">
        <f t="shared" si="7"/>
        <v>0</v>
      </c>
      <c r="G60" s="50"/>
      <c r="H60" s="42" t="s">
        <v>80</v>
      </c>
      <c r="I60" s="35">
        <v>-50360</v>
      </c>
      <c r="J60" s="67" t="s">
        <v>81</v>
      </c>
      <c r="K60" s="86" t="s">
        <v>83</v>
      </c>
      <c r="L60" s="87"/>
      <c r="M60" s="88"/>
      <c r="N60" s="88"/>
      <c r="O60" s="89"/>
    </row>
    <row r="61" s="3" customFormat="1" ht="18" customHeight="1" spans="1:15">
      <c r="A61" s="52"/>
      <c r="B61" s="35">
        <f t="shared" si="8"/>
        <v>0</v>
      </c>
      <c r="C61" s="53"/>
      <c r="D61" s="54"/>
      <c r="E61" s="55"/>
      <c r="F61" s="39">
        <f t="shared" si="7"/>
        <v>0</v>
      </c>
      <c r="G61" s="50"/>
      <c r="H61" s="42" t="s">
        <v>80</v>
      </c>
      <c r="I61" s="35">
        <v>-268000</v>
      </c>
      <c r="J61" s="67" t="s">
        <v>81</v>
      </c>
      <c r="K61" s="86" t="s">
        <v>84</v>
      </c>
      <c r="L61" s="87"/>
      <c r="M61" s="88"/>
      <c r="N61" s="88"/>
      <c r="O61" s="89"/>
    </row>
    <row r="62" s="3" customFormat="1" ht="18" customHeight="1" spans="1:15">
      <c r="A62" s="52"/>
      <c r="B62" s="35">
        <f t="shared" si="8"/>
        <v>0</v>
      </c>
      <c r="C62" s="53"/>
      <c r="D62" s="54"/>
      <c r="E62" s="55"/>
      <c r="F62" s="39">
        <f t="shared" si="7"/>
        <v>0</v>
      </c>
      <c r="G62" s="50"/>
      <c r="H62" s="42" t="s">
        <v>80</v>
      </c>
      <c r="I62" s="35">
        <v>50</v>
      </c>
      <c r="J62" s="67" t="s">
        <v>66</v>
      </c>
      <c r="K62" s="85" t="s">
        <v>69</v>
      </c>
      <c r="L62" s="87"/>
      <c r="M62" s="88"/>
      <c r="N62" s="88"/>
      <c r="O62" s="89"/>
    </row>
    <row r="63" s="2" customFormat="1" ht="18" customHeight="1" spans="1:15">
      <c r="A63" s="34"/>
      <c r="B63" s="39">
        <f t="shared" si="8"/>
        <v>0</v>
      </c>
      <c r="C63" s="36"/>
      <c r="D63" s="37"/>
      <c r="E63" s="38"/>
      <c r="F63" s="39">
        <f t="shared" si="7"/>
        <v>0</v>
      </c>
      <c r="G63" s="27"/>
      <c r="H63" s="56" t="s">
        <v>80</v>
      </c>
      <c r="I63" s="35">
        <v>100</v>
      </c>
      <c r="J63" s="67" t="s">
        <v>66</v>
      </c>
      <c r="K63" s="86" t="s">
        <v>69</v>
      </c>
      <c r="L63" s="70" t="s">
        <v>24</v>
      </c>
      <c r="M63" s="67"/>
      <c r="N63" s="67"/>
      <c r="O63" s="68"/>
    </row>
    <row r="64" s="2" customFormat="1" ht="18" customHeight="1" spans="1:15">
      <c r="A64" s="34"/>
      <c r="B64" s="39">
        <f t="shared" si="8"/>
        <v>0</v>
      </c>
      <c r="C64" s="36"/>
      <c r="D64" s="37"/>
      <c r="E64" s="38"/>
      <c r="F64" s="39">
        <f t="shared" si="7"/>
        <v>0</v>
      </c>
      <c r="G64" s="27"/>
      <c r="H64" s="57" t="s">
        <v>80</v>
      </c>
      <c r="I64" s="35">
        <v>200</v>
      </c>
      <c r="J64" s="67" t="s">
        <v>66</v>
      </c>
      <c r="K64" s="86" t="s">
        <v>69</v>
      </c>
      <c r="L64" s="70"/>
      <c r="M64" s="67"/>
      <c r="N64" s="67"/>
      <c r="O64" s="68"/>
    </row>
    <row r="65" s="2" customFormat="1" ht="18" customHeight="1" spans="1:15">
      <c r="A65" s="34"/>
      <c r="B65" s="39">
        <f t="shared" si="8"/>
        <v>0</v>
      </c>
      <c r="C65" s="36"/>
      <c r="D65" s="37"/>
      <c r="E65" s="90"/>
      <c r="F65" s="39">
        <f t="shared" si="7"/>
        <v>0</v>
      </c>
      <c r="G65" s="27"/>
      <c r="H65" s="23" t="s">
        <v>80</v>
      </c>
      <c r="I65" s="109">
        <v>268000</v>
      </c>
      <c r="J65" s="81" t="s">
        <v>75</v>
      </c>
      <c r="K65" s="82" t="s">
        <v>76</v>
      </c>
      <c r="L65" s="70"/>
      <c r="M65" s="67"/>
      <c r="N65" s="67"/>
      <c r="O65" s="68"/>
    </row>
    <row r="66" s="2" customFormat="1" ht="18" customHeight="1" spans="1:15">
      <c r="A66" s="34"/>
      <c r="B66" s="35">
        <f t="shared" si="8"/>
        <v>0</v>
      </c>
      <c r="C66" s="36"/>
      <c r="D66" s="37"/>
      <c r="E66" s="90"/>
      <c r="F66" s="39">
        <f t="shared" si="7"/>
        <v>0</v>
      </c>
      <c r="G66" s="27"/>
      <c r="H66" s="23" t="s">
        <v>80</v>
      </c>
      <c r="I66" s="35">
        <v>33008</v>
      </c>
      <c r="J66" s="67" t="s">
        <v>75</v>
      </c>
      <c r="K66" s="82" t="s">
        <v>85</v>
      </c>
      <c r="L66" s="68"/>
      <c r="M66" s="67"/>
      <c r="N66" s="67"/>
      <c r="O66" s="68"/>
    </row>
    <row r="67" s="2" customFormat="1" ht="18" customHeight="1" spans="1:15">
      <c r="A67" s="34"/>
      <c r="B67" s="35">
        <f t="shared" si="8"/>
        <v>0</v>
      </c>
      <c r="C67" s="36"/>
      <c r="D67" s="37"/>
      <c r="E67" s="90"/>
      <c r="F67" s="39">
        <f t="shared" si="7"/>
        <v>0</v>
      </c>
      <c r="G67" s="27"/>
      <c r="H67" s="23" t="s">
        <v>80</v>
      </c>
      <c r="I67" s="35">
        <v>1366</v>
      </c>
      <c r="J67" s="67" t="s">
        <v>66</v>
      </c>
      <c r="K67" s="83" t="s">
        <v>77</v>
      </c>
      <c r="L67" s="68" t="s">
        <v>24</v>
      </c>
      <c r="M67" s="67"/>
      <c r="N67" s="67"/>
      <c r="O67" s="68"/>
    </row>
    <row r="68" s="2" customFormat="1" ht="18" customHeight="1" spans="1:15">
      <c r="A68" s="34"/>
      <c r="B68" s="35">
        <f t="shared" si="8"/>
        <v>0</v>
      </c>
      <c r="C68" s="36"/>
      <c r="D68" s="37"/>
      <c r="E68" s="90"/>
      <c r="F68" s="35">
        <f t="shared" si="7"/>
        <v>0</v>
      </c>
      <c r="G68" s="27"/>
      <c r="H68" s="23" t="s">
        <v>80</v>
      </c>
      <c r="I68" s="35">
        <v>16062</v>
      </c>
      <c r="J68" s="67" t="s">
        <v>66</v>
      </c>
      <c r="K68" s="83" t="s">
        <v>78</v>
      </c>
      <c r="L68" s="68"/>
      <c r="M68" s="67"/>
      <c r="N68" s="67"/>
      <c r="O68" s="68"/>
    </row>
    <row r="69" s="2" customFormat="1" ht="18" customHeight="1" spans="1:15">
      <c r="A69" s="34"/>
      <c r="B69" s="35">
        <f t="shared" si="8"/>
        <v>0</v>
      </c>
      <c r="C69" s="36"/>
      <c r="D69" s="37"/>
      <c r="E69" s="90"/>
      <c r="F69" s="35">
        <f t="shared" si="7"/>
        <v>0</v>
      </c>
      <c r="G69" s="27"/>
      <c r="H69" s="23" t="s">
        <v>86</v>
      </c>
      <c r="I69" s="35">
        <v>50360</v>
      </c>
      <c r="J69" s="67" t="s">
        <v>66</v>
      </c>
      <c r="K69" s="83" t="s">
        <v>87</v>
      </c>
      <c r="L69" s="68"/>
      <c r="M69" s="67"/>
      <c r="N69" s="67"/>
      <c r="O69" s="68"/>
    </row>
    <row r="70" s="2" customFormat="1" ht="18" customHeight="1" spans="1:15">
      <c r="A70" s="34"/>
      <c r="B70" s="35">
        <f t="shared" si="8"/>
        <v>16062</v>
      </c>
      <c r="C70" s="36"/>
      <c r="D70" s="37"/>
      <c r="E70" s="90"/>
      <c r="F70" s="35">
        <f t="shared" si="7"/>
        <v>0</v>
      </c>
      <c r="G70" s="27">
        <v>16062</v>
      </c>
      <c r="H70" s="23" t="s">
        <v>80</v>
      </c>
      <c r="I70" s="35">
        <f>G70</f>
        <v>16062</v>
      </c>
      <c r="J70" s="67" t="s">
        <v>66</v>
      </c>
      <c r="K70" s="83" t="s">
        <v>79</v>
      </c>
      <c r="L70" s="68"/>
      <c r="M70" s="67"/>
      <c r="N70" s="67"/>
      <c r="O70" s="68"/>
    </row>
    <row r="71" s="2" customFormat="1" ht="18" customHeight="1" spans="1:15">
      <c r="A71" s="34"/>
      <c r="B71" s="35">
        <f t="shared" si="8"/>
        <v>0</v>
      </c>
      <c r="C71" s="36"/>
      <c r="D71" s="37"/>
      <c r="E71" s="90"/>
      <c r="F71" s="35">
        <f t="shared" si="7"/>
        <v>0</v>
      </c>
      <c r="G71" s="27"/>
      <c r="H71" s="23" t="s">
        <v>88</v>
      </c>
      <c r="I71" s="35">
        <v>274</v>
      </c>
      <c r="J71" s="67" t="s">
        <v>66</v>
      </c>
      <c r="K71" s="83" t="s">
        <v>77</v>
      </c>
      <c r="L71" s="68"/>
      <c r="M71" s="67"/>
      <c r="N71" s="67"/>
      <c r="O71" s="68"/>
    </row>
    <row r="72" s="2" customFormat="1" ht="18" customHeight="1" spans="1:15">
      <c r="A72" s="34"/>
      <c r="B72" s="35">
        <f t="shared" si="8"/>
        <v>0</v>
      </c>
      <c r="C72" s="36"/>
      <c r="D72" s="37"/>
      <c r="E72" s="90"/>
      <c r="F72" s="35">
        <f t="shared" si="7"/>
        <v>0</v>
      </c>
      <c r="G72" s="27"/>
      <c r="H72" s="23" t="s">
        <v>88</v>
      </c>
      <c r="I72" s="35">
        <v>3213</v>
      </c>
      <c r="J72" s="67" t="s">
        <v>66</v>
      </c>
      <c r="K72" s="83" t="s">
        <v>78</v>
      </c>
      <c r="L72" s="68"/>
      <c r="M72" s="67"/>
      <c r="N72" s="67"/>
      <c r="O72" s="68"/>
    </row>
    <row r="73" s="2" customFormat="1" ht="18" customHeight="1" spans="1:15">
      <c r="A73" s="34"/>
      <c r="B73" s="35">
        <f t="shared" si="8"/>
        <v>3212.39</v>
      </c>
      <c r="C73" s="36"/>
      <c r="D73" s="37"/>
      <c r="E73" s="90"/>
      <c r="F73" s="35">
        <f t="shared" si="7"/>
        <v>0</v>
      </c>
      <c r="G73" s="27">
        <f>3212.39</f>
        <v>3212.39</v>
      </c>
      <c r="H73" s="23" t="s">
        <v>88</v>
      </c>
      <c r="I73" s="35">
        <f>G73</f>
        <v>3212.39</v>
      </c>
      <c r="J73" s="67" t="s">
        <v>66</v>
      </c>
      <c r="K73" s="83" t="s">
        <v>79</v>
      </c>
      <c r="L73" s="68"/>
      <c r="M73" s="67"/>
      <c r="N73" s="67"/>
      <c r="O73" s="68"/>
    </row>
    <row r="74" s="2" customFormat="1" ht="18" customHeight="1" spans="1:15">
      <c r="A74" s="34"/>
      <c r="B74" s="35">
        <f t="shared" si="8"/>
        <v>0</v>
      </c>
      <c r="C74" s="36"/>
      <c r="D74" s="37"/>
      <c r="E74" s="90"/>
      <c r="F74" s="35">
        <f t="shared" si="7"/>
        <v>0</v>
      </c>
      <c r="G74" s="27"/>
      <c r="H74" s="23"/>
      <c r="I74" s="12"/>
      <c r="J74" s="61"/>
      <c r="K74" s="83"/>
      <c r="L74" s="68"/>
      <c r="M74" s="67"/>
      <c r="N74" s="67"/>
      <c r="O74" s="68"/>
    </row>
    <row r="75" s="1" customFormat="1" ht="18" customHeight="1" spans="1:15">
      <c r="A75" s="30" t="s">
        <v>23</v>
      </c>
      <c r="B75" s="29">
        <f>SUM(B14:B74)</f>
        <v>2006389.53</v>
      </c>
      <c r="C75" s="30"/>
      <c r="D75" s="91"/>
      <c r="E75" s="91"/>
      <c r="F75" s="31">
        <f>SUM(F14:F74)</f>
        <v>215123.82</v>
      </c>
      <c r="G75" s="92">
        <f>SUM(G14:G74)</f>
        <v>2222290.6</v>
      </c>
      <c r="H75" s="93"/>
      <c r="I75" s="30">
        <f>SUM(I14:I74)</f>
        <v>3157922.55630734</v>
      </c>
      <c r="J75" s="110"/>
      <c r="K75" s="91"/>
      <c r="L75" s="32"/>
      <c r="M75" s="61"/>
      <c r="N75" s="61"/>
      <c r="O75" s="32"/>
    </row>
    <row r="76" s="1" customFormat="1" ht="18" customHeight="1" spans="1:14">
      <c r="A76" s="94" t="s">
        <v>89</v>
      </c>
      <c r="B76" s="94">
        <f>B11*0.96</f>
        <v>2897714.40440367</v>
      </c>
      <c r="C76" s="94"/>
      <c r="D76" s="95"/>
      <c r="E76" s="95"/>
      <c r="F76" s="94"/>
      <c r="G76" s="94">
        <f>G11-G75</f>
        <v>1067822.63</v>
      </c>
      <c r="H76" s="22" t="s">
        <v>90</v>
      </c>
      <c r="I76" s="30">
        <f>I11-I75</f>
        <v>132190.673692661</v>
      </c>
      <c r="K76" s="111"/>
      <c r="M76" s="112"/>
      <c r="N76" s="112"/>
    </row>
    <row r="77" s="1" customFormat="1" ht="18" customHeight="1" spans="1:14">
      <c r="A77" s="94" t="s">
        <v>91</v>
      </c>
      <c r="B77" s="94">
        <f>B76-B75</f>
        <v>891324.87440367</v>
      </c>
      <c r="C77" s="94"/>
      <c r="D77" s="95"/>
      <c r="E77" s="95"/>
      <c r="F77" s="96"/>
      <c r="G77" s="96"/>
      <c r="H77" s="97"/>
      <c r="I77" s="96"/>
      <c r="K77" s="111"/>
      <c r="M77" s="112"/>
      <c r="N77" s="112"/>
    </row>
    <row r="78" s="1" customFormat="1" ht="18" customHeight="1" spans="1:10">
      <c r="A78" s="4" t="s">
        <v>92</v>
      </c>
      <c r="B78" s="5"/>
      <c r="C78" s="4"/>
      <c r="D78" s="6"/>
      <c r="E78" s="6"/>
      <c r="F78" s="5"/>
      <c r="G78" s="5"/>
      <c r="H78" s="6"/>
      <c r="I78" s="5"/>
      <c r="J78" s="7"/>
    </row>
    <row r="79" s="1" customFormat="1" ht="18" customHeight="1" spans="1:11">
      <c r="A79" s="22" t="s">
        <v>93</v>
      </c>
      <c r="B79" s="21" t="s">
        <v>94</v>
      </c>
      <c r="C79" s="32"/>
      <c r="D79" s="22" t="s">
        <v>93</v>
      </c>
      <c r="E79" s="20" t="s">
        <v>16</v>
      </c>
      <c r="F79" s="21" t="s">
        <v>94</v>
      </c>
      <c r="G79" s="21" t="s">
        <v>95</v>
      </c>
      <c r="H79" s="21" t="s">
        <v>96</v>
      </c>
      <c r="I79" s="21" t="s">
        <v>97</v>
      </c>
      <c r="J79" s="21" t="s">
        <v>98</v>
      </c>
      <c r="K79" s="21" t="s">
        <v>99</v>
      </c>
    </row>
    <row r="80" s="1" customFormat="1" ht="18" customHeight="1" spans="1:11">
      <c r="A80" s="32" t="s">
        <v>100</v>
      </c>
      <c r="B80" s="35">
        <f>(B76-B75)*0.25</f>
        <v>222831.218600918</v>
      </c>
      <c r="C80" s="32"/>
      <c r="D80" s="28" t="s">
        <v>101</v>
      </c>
      <c r="E80" s="22" t="s">
        <v>102</v>
      </c>
      <c r="F80" s="31">
        <f>F11-F75</f>
        <v>-3832.14467889909</v>
      </c>
      <c r="G80" s="31">
        <f>F7-F14</f>
        <v>-58186.6840366972</v>
      </c>
      <c r="H80" s="31">
        <f>F7+F8-F14</f>
        <v>44963.3970642202</v>
      </c>
      <c r="I80" s="31">
        <f>-H80</f>
        <v>-44963.3970642202</v>
      </c>
      <c r="J80" s="31">
        <v>0</v>
      </c>
      <c r="K80" s="31">
        <f>D10</f>
        <v>1426.14678899083</v>
      </c>
    </row>
    <row r="81" s="1" customFormat="1" ht="18" customHeight="1" spans="1:11">
      <c r="A81" s="32" t="s">
        <v>103</v>
      </c>
      <c r="B81" s="98"/>
      <c r="C81" s="32"/>
      <c r="D81" s="99" t="s">
        <v>104</v>
      </c>
      <c r="E81" s="14">
        <v>0.07</v>
      </c>
      <c r="F81" s="12">
        <f>F80*E81</f>
        <v>-268.250127522936</v>
      </c>
      <c r="G81" s="12">
        <v>0</v>
      </c>
      <c r="H81" s="12">
        <f>H80*E81</f>
        <v>3147.43779449541</v>
      </c>
      <c r="I81" s="12">
        <f>I80*E81</f>
        <v>-3147.43779449541</v>
      </c>
      <c r="J81" s="12">
        <v>0</v>
      </c>
      <c r="K81" s="12">
        <f>K80*E81</f>
        <v>99.8302752293578</v>
      </c>
    </row>
    <row r="82" s="1" customFormat="1" ht="18" customHeight="1" spans="1:11">
      <c r="A82" s="32" t="s">
        <v>105</v>
      </c>
      <c r="B82" s="98"/>
      <c r="C82" s="32"/>
      <c r="D82" s="99" t="s">
        <v>106</v>
      </c>
      <c r="E82" s="14">
        <v>0.03</v>
      </c>
      <c r="F82" s="12">
        <f>F80*E82</f>
        <v>-114.964340366973</v>
      </c>
      <c r="G82" s="12">
        <v>0</v>
      </c>
      <c r="H82" s="12">
        <f>H80*E82</f>
        <v>1348.90191192661</v>
      </c>
      <c r="I82" s="12">
        <f>I80*E82</f>
        <v>-1348.90191192661</v>
      </c>
      <c r="J82" s="12">
        <v>0</v>
      </c>
      <c r="K82" s="12">
        <f>K80*E82</f>
        <v>42.7844036697248</v>
      </c>
    </row>
    <row r="83" s="1" customFormat="1" ht="18" customHeight="1" spans="1:11">
      <c r="A83" s="32"/>
      <c r="B83" s="12"/>
      <c r="C83" s="32"/>
      <c r="D83" s="99" t="s">
        <v>107</v>
      </c>
      <c r="E83" s="14">
        <v>0.02</v>
      </c>
      <c r="F83" s="12">
        <f>F80*E83</f>
        <v>-76.6428935779817</v>
      </c>
      <c r="G83" s="12">
        <v>0</v>
      </c>
      <c r="H83" s="12">
        <f>H80*E83</f>
        <v>899.267941284404</v>
      </c>
      <c r="I83" s="12">
        <f>I80*E83</f>
        <v>-899.267941284404</v>
      </c>
      <c r="J83" s="12">
        <v>0</v>
      </c>
      <c r="K83" s="12">
        <f>K80*E83</f>
        <v>28.5229357798165</v>
      </c>
    </row>
    <row r="84" s="1" customFormat="1" ht="18" customHeight="1" spans="1:11">
      <c r="A84" s="28" t="s">
        <v>108</v>
      </c>
      <c r="B84" s="29">
        <f>SUM(B80:B83)</f>
        <v>222831.218600918</v>
      </c>
      <c r="C84" s="32"/>
      <c r="D84" s="33" t="s">
        <v>108</v>
      </c>
      <c r="E84" s="28"/>
      <c r="F84" s="31">
        <f t="shared" ref="F84:I84" si="9">SUM(F80:F83)</f>
        <v>-4292.00204036698</v>
      </c>
      <c r="G84" s="31">
        <v>0</v>
      </c>
      <c r="H84" s="31">
        <f t="shared" si="9"/>
        <v>50359.0047119266</v>
      </c>
      <c r="I84" s="107">
        <f t="shared" si="9"/>
        <v>-50359.0047119266</v>
      </c>
      <c r="J84" s="107">
        <v>0</v>
      </c>
      <c r="K84" s="107">
        <f>SUM(K80:K83)</f>
        <v>1597.28440366972</v>
      </c>
    </row>
    <row r="85" s="1" customFormat="1" ht="18" customHeight="1" spans="1:11">
      <c r="A85" s="4"/>
      <c r="B85" s="5"/>
      <c r="C85" s="4"/>
      <c r="D85" s="100" t="s">
        <v>100</v>
      </c>
      <c r="E85" s="101">
        <v>0.01</v>
      </c>
      <c r="F85" s="100">
        <f>G11*E85</f>
        <v>32901.1323</v>
      </c>
      <c r="G85" s="100">
        <f>G7*E85</f>
        <v>3212.3882</v>
      </c>
      <c r="H85" s="102">
        <f>G8*E85</f>
        <v>16061.9412</v>
      </c>
      <c r="I85" s="104"/>
      <c r="J85" s="30">
        <f>G9*E85</f>
        <v>12849.5529</v>
      </c>
      <c r="K85" s="30">
        <f>G10*E85</f>
        <v>777.25</v>
      </c>
    </row>
    <row r="86" s="1" customFormat="1" ht="18" customHeight="1" spans="1:11">
      <c r="A86" s="4"/>
      <c r="B86" s="5"/>
      <c r="C86" s="4"/>
      <c r="D86" s="12" t="s">
        <v>103</v>
      </c>
      <c r="E86" s="103">
        <v>0.0003</v>
      </c>
      <c r="F86" s="12">
        <f>G11*E86</f>
        <v>987.033969</v>
      </c>
      <c r="G86" s="12">
        <f>G7*E86</f>
        <v>96.371646</v>
      </c>
      <c r="H86" s="104">
        <f>G8*E86</f>
        <v>481.858236</v>
      </c>
      <c r="I86" s="12"/>
      <c r="J86" s="113">
        <f>G9*E86</f>
        <v>385.486587</v>
      </c>
      <c r="K86" s="113">
        <f>G10*E86</f>
        <v>23.3175</v>
      </c>
    </row>
    <row r="87" s="1" customFormat="1" ht="18" customHeight="1" spans="1:11">
      <c r="A87" s="4"/>
      <c r="B87" s="5"/>
      <c r="C87" s="4"/>
      <c r="D87" s="12" t="s">
        <v>105</v>
      </c>
      <c r="E87" s="103">
        <v>0.0006</v>
      </c>
      <c r="F87" s="12">
        <f>B11*E87</f>
        <v>1811.07150275229</v>
      </c>
      <c r="G87" s="12">
        <f>B7*E87</f>
        <v>176.828708256881</v>
      </c>
      <c r="H87" s="104">
        <f>B8*E87</f>
        <v>884.143552293578</v>
      </c>
      <c r="I87" s="12"/>
      <c r="J87" s="12">
        <f>B9*E87</f>
        <v>707.31483853211</v>
      </c>
      <c r="K87" s="12">
        <f>B10*E87</f>
        <v>42.7844036697248</v>
      </c>
    </row>
    <row r="88" s="1" customFormat="1" ht="18" customHeight="1" spans="1:11">
      <c r="A88" s="4"/>
      <c r="B88" s="5"/>
      <c r="C88" s="4"/>
      <c r="D88" s="33" t="s">
        <v>108</v>
      </c>
      <c r="E88" s="28"/>
      <c r="F88" s="31">
        <f t="shared" ref="F88:H88" si="10">F86+F87</f>
        <v>2798.10547175229</v>
      </c>
      <c r="G88" s="31">
        <f t="shared" si="10"/>
        <v>273.200354256881</v>
      </c>
      <c r="H88" s="105">
        <f t="shared" si="10"/>
        <v>1366.00178829358</v>
      </c>
      <c r="I88" s="105"/>
      <c r="J88" s="105">
        <f>J86+J87</f>
        <v>1092.80142553211</v>
      </c>
      <c r="K88" s="105">
        <f>K86+K87</f>
        <v>66.1019036697248</v>
      </c>
    </row>
    <row r="89" s="1" customFormat="1" ht="45" spans="1:10">
      <c r="A89" s="4"/>
      <c r="B89" s="5"/>
      <c r="C89" s="4"/>
      <c r="D89" s="6"/>
      <c r="E89" s="6"/>
      <c r="F89" s="22" t="s">
        <v>93</v>
      </c>
      <c r="G89" s="20" t="s">
        <v>16</v>
      </c>
      <c r="H89" s="106" t="s">
        <v>109</v>
      </c>
      <c r="I89" s="114" t="s">
        <v>110</v>
      </c>
      <c r="J89" s="114"/>
    </row>
    <row r="90" s="1" customFormat="1" spans="1:10">
      <c r="A90" s="4"/>
      <c r="B90" s="5"/>
      <c r="C90" s="4"/>
      <c r="D90" s="6"/>
      <c r="E90" s="6"/>
      <c r="F90" s="28" t="s">
        <v>101</v>
      </c>
      <c r="G90" s="22" t="s">
        <v>102</v>
      </c>
      <c r="H90" s="31">
        <f>D8</f>
        <v>29471.4517431193</v>
      </c>
      <c r="I90" s="31">
        <v>-29471.45</v>
      </c>
      <c r="J90" s="115"/>
    </row>
    <row r="91" s="1" customFormat="1" spans="1:10">
      <c r="A91" s="4"/>
      <c r="B91" s="5"/>
      <c r="C91" s="4"/>
      <c r="D91" s="6"/>
      <c r="E91" s="6"/>
      <c r="F91" s="99" t="s">
        <v>104</v>
      </c>
      <c r="G91" s="14">
        <v>0.07</v>
      </c>
      <c r="H91" s="12">
        <f>H90*G91</f>
        <v>2063.00162201835</v>
      </c>
      <c r="I91" s="12">
        <f>I90*G91</f>
        <v>-2063.0015</v>
      </c>
      <c r="J91" s="116"/>
    </row>
    <row r="92" s="1" customFormat="1" spans="1:10">
      <c r="A92" s="4"/>
      <c r="B92" s="5"/>
      <c r="C92" s="4"/>
      <c r="D92" s="6"/>
      <c r="E92" s="6"/>
      <c r="F92" s="99" t="s">
        <v>106</v>
      </c>
      <c r="G92" s="14">
        <v>0.03</v>
      </c>
      <c r="H92" s="12">
        <f>H90*G92</f>
        <v>884.143552293578</v>
      </c>
      <c r="I92" s="12">
        <f>I90*G92</f>
        <v>-884.1435</v>
      </c>
      <c r="J92" s="116"/>
    </row>
    <row r="93" s="1" customFormat="1" spans="1:10">
      <c r="A93" s="4"/>
      <c r="B93" s="5"/>
      <c r="C93" s="4"/>
      <c r="D93" s="6"/>
      <c r="E93" s="6"/>
      <c r="F93" s="99" t="s">
        <v>107</v>
      </c>
      <c r="G93" s="14">
        <v>0.02</v>
      </c>
      <c r="H93" s="12">
        <f>H90*G93</f>
        <v>589.429034862385</v>
      </c>
      <c r="I93" s="12">
        <f>I90*G93</f>
        <v>-589.429</v>
      </c>
      <c r="J93" s="116"/>
    </row>
    <row r="94" s="1" customFormat="1" spans="1:10">
      <c r="A94" s="4"/>
      <c r="B94" s="5"/>
      <c r="C94" s="4"/>
      <c r="D94" s="6"/>
      <c r="E94" s="6"/>
      <c r="F94" s="33" t="s">
        <v>108</v>
      </c>
      <c r="G94" s="28"/>
      <c r="H94" s="107">
        <f>SUM(H90:H93)</f>
        <v>33008.0259522936</v>
      </c>
      <c r="I94" s="107">
        <f>SUM(I90:I93)</f>
        <v>-33008.024</v>
      </c>
      <c r="J94" s="117"/>
    </row>
    <row r="95" s="1" customFormat="1" spans="1:10">
      <c r="A95" s="4"/>
      <c r="B95" s="5"/>
      <c r="C95" s="4"/>
      <c r="D95" s="6"/>
      <c r="E95" s="6"/>
      <c r="F95" s="14" t="s">
        <v>111</v>
      </c>
      <c r="G95" s="108">
        <v>0.25</v>
      </c>
      <c r="H95" s="14"/>
      <c r="I95" s="14"/>
      <c r="J95" s="14"/>
    </row>
    <row r="96" s="1" customFormat="1" spans="1:10">
      <c r="A96" s="4"/>
      <c r="B96" s="5"/>
      <c r="C96" s="4"/>
      <c r="D96" s="6"/>
      <c r="E96" s="6"/>
      <c r="F96" s="5"/>
      <c r="G96" s="5"/>
      <c r="H96" s="6"/>
      <c r="I96" s="5"/>
      <c r="J96" s="7"/>
    </row>
    <row r="97" s="1" customFormat="1" spans="1:10">
      <c r="A97" s="4"/>
      <c r="B97" s="5"/>
      <c r="C97" s="4"/>
      <c r="D97" s="6"/>
      <c r="E97" s="6"/>
      <c r="F97" s="5"/>
      <c r="G97" s="5"/>
      <c r="H97" s="6"/>
      <c r="I97" s="5"/>
      <c r="J97" s="7"/>
    </row>
    <row r="98" s="1" customFormat="1" spans="1:10">
      <c r="A98" s="4"/>
      <c r="B98" s="5"/>
      <c r="C98" s="4"/>
      <c r="D98" s="6"/>
      <c r="E98" s="6"/>
      <c r="F98" s="5"/>
      <c r="G98" s="5"/>
      <c r="H98" s="5"/>
      <c r="I98" s="5"/>
      <c r="J98" s="7"/>
    </row>
    <row r="99" s="1" customFormat="1" spans="1:10">
      <c r="A99" s="4"/>
      <c r="B99" s="5"/>
      <c r="C99" s="4"/>
      <c r="D99" s="6"/>
      <c r="E99" s="6"/>
      <c r="F99" s="5"/>
      <c r="G99" s="5"/>
      <c r="H99" s="6"/>
      <c r="I99" s="5"/>
      <c r="J99" s="7"/>
    </row>
    <row r="100" s="1" customFormat="1" spans="1:10">
      <c r="A100" s="4"/>
      <c r="B100" s="5"/>
      <c r="C100" s="4"/>
      <c r="D100" s="6"/>
      <c r="E100" s="6"/>
      <c r="F100" s="5"/>
      <c r="G100" s="5"/>
      <c r="H100" s="6"/>
      <c r="I100" s="5"/>
      <c r="J100" s="7"/>
    </row>
    <row r="101" s="1" customFormat="1" spans="1:10">
      <c r="A101" s="4"/>
      <c r="B101" s="5"/>
      <c r="C101" s="4"/>
      <c r="D101" s="6"/>
      <c r="E101" s="6"/>
      <c r="F101" s="5"/>
      <c r="G101" s="5"/>
      <c r="H101" s="6"/>
      <c r="I101" s="5"/>
      <c r="J101" s="7"/>
    </row>
    <row r="102" s="1" customFormat="1" spans="1:10">
      <c r="A102" s="4"/>
      <c r="B102" s="5"/>
      <c r="C102" s="4"/>
      <c r="D102" s="6"/>
      <c r="E102" s="6"/>
      <c r="F102" s="5"/>
      <c r="G102" s="5"/>
      <c r="H102" s="6"/>
      <c r="I102" s="5"/>
      <c r="J102" s="7"/>
    </row>
    <row r="103" s="1" customFormat="1" spans="1:10">
      <c r="A103" s="4"/>
      <c r="B103" s="5"/>
      <c r="C103" s="4"/>
      <c r="D103" s="6"/>
      <c r="E103" s="6"/>
      <c r="F103" s="5"/>
      <c r="G103" s="5"/>
      <c r="H103" s="6"/>
      <c r="I103" s="5"/>
      <c r="J103" s="7"/>
    </row>
    <row r="104" s="1" customFormat="1" spans="1:10">
      <c r="A104" s="4"/>
      <c r="B104" s="5"/>
      <c r="C104" s="4"/>
      <c r="D104" s="6"/>
      <c r="E104" s="6"/>
      <c r="F104" s="5"/>
      <c r="G104" s="5"/>
      <c r="H104" s="6"/>
      <c r="I104" s="5"/>
      <c r="J104" s="7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2020年省道320线K0+000-K85+000段公路安全生</vt:lpstr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2021-05-18T09:12:13Z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ACCCB4A9D38C4F56876E69AC7D260D5D</vt:lpwstr>
  </property>
</Properties>
</file>