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二次" sheetId="3" r:id="rId1"/>
    <sheet name="新" sheetId="2" r:id="rId2"/>
    <sheet name="旧" sheetId="1" r:id="rId3"/>
  </sheets>
  <definedNames>
    <definedName name="_xlnm._FilterDatabase" localSheetId="0" hidden="1">第二次!$A$14:$O$65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5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<sst xmlns="http://schemas.openxmlformats.org/spreadsheetml/2006/main" count="385" uniqueCount="118">
  <si>
    <t>C12055 怀宁路下穿天鹅湖隧道工程</t>
  </si>
  <si>
    <t>中标日期</t>
  </si>
  <si>
    <t>2019.12.11</t>
  </si>
  <si>
    <t>中标价</t>
  </si>
  <si>
    <t>负责人</t>
  </si>
  <si>
    <t>孙容</t>
  </si>
  <si>
    <t>建设单位</t>
  </si>
  <si>
    <t>安徽省交通建设股份有限公司合肥蜀山区分公司  9134 0104 MA2T KQMT4Q</t>
  </si>
  <si>
    <t>安徽省合肥市蜀山区笔架山街道聚云路138号白天鹅商务中心北楼7楼（整层） 0551-67110593</t>
  </si>
  <si>
    <t>决算日期</t>
  </si>
  <si>
    <t>决算价</t>
  </si>
  <si>
    <t>中国银行合肥北城支行  1752 5228 5469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</si>
  <si>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</si>
  <si>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</si>
  <si>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</si>
  <si>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</si>
  <si>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</si>
  <si>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</si>
  <si>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</si>
  <si>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</si>
  <si>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</si>
  <si>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</si>
  <si>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</si>
  <si>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</si>
  <si>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20.1.16</t>
  </si>
  <si>
    <t>10.1.21</t>
  </si>
  <si>
    <t>中</t>
  </si>
  <si>
    <t>新中行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</si>
  <si>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</si>
  <si>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</si>
  <si>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</si>
  <si>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</si>
  <si>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</si>
  <si>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</si>
  <si>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</si>
  <si>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</si>
  <si>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</si>
  <si>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</si>
  <si>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</si>
  <si>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</si>
  <si>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</si>
  <si>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</si>
  <si>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20.1.22</t>
  </si>
  <si>
    <t>专</t>
  </si>
  <si>
    <t>安徽融畅智能科技有限公司</t>
  </si>
  <si>
    <t>有，合同价847210</t>
  </si>
  <si>
    <t>普</t>
  </si>
  <si>
    <t>电信费</t>
  </si>
  <si>
    <t>差旅费</t>
  </si>
  <si>
    <t>辅材费</t>
  </si>
  <si>
    <t>王玲子</t>
  </si>
  <si>
    <t>代付材料款</t>
  </si>
  <si>
    <t>20.4.28</t>
  </si>
  <si>
    <t>税务局代开</t>
  </si>
  <si>
    <t>杆件</t>
  </si>
  <si>
    <t>中国人民财产保险股份有限公司合肥市分公司</t>
  </si>
  <si>
    <t>车辆保险</t>
  </si>
  <si>
    <t>普代</t>
  </si>
  <si>
    <t>徐尚凤</t>
  </si>
  <si>
    <t>劳务</t>
  </si>
  <si>
    <t>退垫付材料款</t>
  </si>
  <si>
    <t>3份</t>
  </si>
  <si>
    <t>工程服务</t>
  </si>
  <si>
    <t>2份</t>
  </si>
  <si>
    <t>庐江县台创园环森办公用品经营部</t>
  </si>
  <si>
    <t>档案盒等</t>
  </si>
  <si>
    <t>1份</t>
  </si>
  <si>
    <t>庐江县台创园优加打印店</t>
  </si>
  <si>
    <t>图纸打印</t>
  </si>
  <si>
    <t>合肥市包河区传振电子产品经营部</t>
  </si>
  <si>
    <t>光纤收发器</t>
  </si>
  <si>
    <t>中国移动通信集团安徽有限公司合肥分公司</t>
  </si>
  <si>
    <t>基础电信服务</t>
  </si>
  <si>
    <t>长丰鼎立建材有限责任公司</t>
  </si>
  <si>
    <t>混凝土102立方</t>
  </si>
  <si>
    <t>有，合同价63185.94</t>
  </si>
  <si>
    <t>结清证明付 发票后做账</t>
  </si>
  <si>
    <t>安徽省交通控股集团有限公司</t>
  </si>
  <si>
    <t>通行费</t>
  </si>
  <si>
    <t>有，合同价255100万</t>
  </si>
  <si>
    <t>安徽融通智能科技有限公司</t>
  </si>
  <si>
    <t>有，合同价30万</t>
  </si>
  <si>
    <t>中行</t>
  </si>
  <si>
    <t>3次</t>
  </si>
  <si>
    <t>扣</t>
  </si>
  <si>
    <t>转账手续费</t>
  </si>
  <si>
    <t>管理费（到账工程款1%）</t>
  </si>
  <si>
    <t>企税1%</t>
  </si>
  <si>
    <t>2021年1月扣工程地缴税2%</t>
  </si>
  <si>
    <t>2次</t>
  </si>
  <si>
    <t>2020年5月扣工程地缴税2%</t>
  </si>
  <si>
    <t>增值税及附加、印花税、水利基金</t>
  </si>
  <si>
    <t>1次</t>
  </si>
  <si>
    <t>企业所得税1%</t>
  </si>
  <si>
    <t>手续费</t>
  </si>
  <si>
    <t>可支付金额</t>
  </si>
  <si>
    <t>公司代缴税金：</t>
  </si>
  <si>
    <t>税种</t>
  </si>
  <si>
    <t>税额</t>
  </si>
  <si>
    <t>2020年1月扣工程地缴税2%</t>
  </si>
  <si>
    <t>2022年3月本地2%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</si>
  <si>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</si>
  <si>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</si>
  <si>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</si>
  <si>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</si>
  <si>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</si>
  <si>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</si>
  <si>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</si>
  <si>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</si>
  <si>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</si>
  <si>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企税</t>
  </si>
  <si>
    <t>怀宁路下穿天鹅湖隧道工程</t>
  </si>
  <si>
    <t>孙蓉</t>
  </si>
  <si>
    <t>安徽省交通建设股份有限公司合肥蜀山区分公司</t>
  </si>
  <si>
    <t>待扣税金</t>
  </si>
  <si>
    <t>代扣企业所得税</t>
  </si>
  <si>
    <t>管理费</t>
  </si>
  <si>
    <t>11月税费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</si>
</sst>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41" formatCode="_ * #,##0_ ;_ * \-#,##0_ ;_ * &quot;-&quot;_ ;_ @_ "/>
    <numFmt numFmtId="177" formatCode="yy/m/d;@"/>
    <numFmt numFmtId="178" formatCode="#,##0_ "/>
    <numFmt numFmtId="179" formatCode="yyyy&quot;年&quot;m&quot;月&quot;;@"/>
    <numFmt numFmtId="180" formatCode="yyyy/m/d;@"/>
  </numFmts>
  <fonts count="35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sz val="8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31" fillId="15" borderId="8" applyNumberFormat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122">
    <xf numFmtId="0" fontId="0" fillId="0" borderId="0" xfId="0"/>
    <xf numFmtId="0" fontId="1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6" fontId="6" fillId="3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76" fontId="2" fillId="4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0" fontId="6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0" fontId="6" fillId="0" borderId="2" xfId="0" applyNumberFormat="1" applyFont="1" applyBorder="1" applyAlignment="1">
      <alignment vertical="center"/>
    </xf>
    <xf numFmtId="10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9" fontId="2" fillId="0" borderId="0" xfId="0" applyNumberFormat="1" applyFont="1" applyAlignment="1">
      <alignment vertical="center"/>
    </xf>
    <xf numFmtId="179" fontId="3" fillId="0" borderId="1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vertical="center"/>
    </xf>
    <xf numFmtId="177" fontId="9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left" vertical="center"/>
    </xf>
    <xf numFmtId="177" fontId="9" fillId="0" borderId="2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177" fontId="10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vertical="center"/>
    </xf>
    <xf numFmtId="179" fontId="11" fillId="0" borderId="2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9" fontId="8" fillId="0" borderId="2" xfId="11" applyFont="1" applyBorder="1" applyAlignment="1">
      <alignment horizontal="center" vertical="center"/>
    </xf>
    <xf numFmtId="176" fontId="9" fillId="2" borderId="2" xfId="0" applyNumberFormat="1" applyFont="1" applyFill="1" applyBorder="1" applyAlignment="1">
      <alignment vertical="center"/>
    </xf>
    <xf numFmtId="177" fontId="8" fillId="0" borderId="2" xfId="0" applyNumberFormat="1" applyFont="1" applyBorder="1" applyAlignment="1">
      <alignment horizontal="center" vertical="center"/>
    </xf>
    <xf numFmtId="179" fontId="11" fillId="0" borderId="2" xfId="0" applyNumberFormat="1" applyFont="1" applyBorder="1" applyAlignment="1">
      <alignment vertical="center"/>
    </xf>
    <xf numFmtId="176" fontId="11" fillId="3" borderId="2" xfId="0" applyNumberFormat="1" applyFont="1" applyFill="1" applyBorder="1" applyAlignment="1">
      <alignment vertical="center"/>
    </xf>
    <xf numFmtId="176" fontId="11" fillId="0" borderId="2" xfId="0" applyNumberFormat="1" applyFont="1" applyBorder="1" applyAlignment="1">
      <alignment vertical="center"/>
    </xf>
    <xf numFmtId="176" fontId="11" fillId="4" borderId="2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179" fontId="9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vertical="center"/>
    </xf>
    <xf numFmtId="178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9" fontId="9" fillId="5" borderId="2" xfId="1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vertical="center"/>
    </xf>
    <xf numFmtId="177" fontId="8" fillId="3" borderId="2" xfId="0" applyNumberFormat="1" applyFont="1" applyFill="1" applyBorder="1" applyAlignment="1">
      <alignment horizontal="center" vertical="center"/>
    </xf>
    <xf numFmtId="9" fontId="9" fillId="5" borderId="2" xfId="11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179" fontId="11" fillId="0" borderId="0" xfId="0" applyNumberFormat="1" applyFont="1" applyAlignment="1">
      <alignment vertical="center"/>
    </xf>
    <xf numFmtId="176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77" fontId="8" fillId="0" borderId="0" xfId="0" applyNumberFormat="1" applyFont="1" applyAlignment="1">
      <alignment vertical="center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76" fontId="8" fillId="4" borderId="2" xfId="0" applyNumberFormat="1" applyFont="1" applyFill="1" applyBorder="1" applyAlignment="1">
      <alignment vertical="center"/>
    </xf>
    <xf numFmtId="177" fontId="8" fillId="0" borderId="2" xfId="0" applyNumberFormat="1" applyFont="1" applyBorder="1" applyAlignment="1">
      <alignment horizontal="right" vertical="center"/>
    </xf>
    <xf numFmtId="177" fontId="11" fillId="0" borderId="2" xfId="0" applyNumberFormat="1" applyFont="1" applyBorder="1" applyAlignment="1">
      <alignment vertical="center"/>
    </xf>
    <xf numFmtId="177" fontId="8" fillId="0" borderId="4" xfId="0" applyNumberFormat="1" applyFont="1" applyBorder="1" applyAlignment="1">
      <alignment horizontal="left" vertical="center"/>
    </xf>
    <xf numFmtId="177" fontId="8" fillId="0" borderId="5" xfId="0" applyNumberFormat="1" applyFont="1" applyBorder="1" applyAlignment="1">
      <alignment horizontal="left" vertical="center"/>
    </xf>
    <xf numFmtId="10" fontId="8" fillId="0" borderId="0" xfId="0" applyNumberFormat="1" applyFont="1" applyAlignment="1">
      <alignment vertical="center"/>
    </xf>
    <xf numFmtId="10" fontId="11" fillId="0" borderId="2" xfId="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0" fontId="11" fillId="0" borderId="2" xfId="0" applyNumberFormat="1" applyFont="1" applyBorder="1" applyAlignment="1">
      <alignment vertical="center"/>
    </xf>
    <xf numFmtId="10" fontId="1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77" fontId="8" fillId="0" borderId="3" xfId="0" applyNumberFormat="1" applyFont="1" applyBorder="1" applyAlignment="1">
      <alignment horizontal="left" vertical="center" wrapText="1"/>
    </xf>
    <xf numFmtId="9" fontId="8" fillId="0" borderId="2" xfId="11" applyNumberFormat="1" applyFont="1" applyBorder="1" applyAlignment="1">
      <alignment horizontal="center" vertical="center"/>
    </xf>
    <xf numFmtId="177" fontId="8" fillId="6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176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11" fillId="0" borderId="2" xfId="0" applyNumberFormat="1" applyFont="1" applyBorder="1" applyAlignment="1">
      <alignment vertical="center"/>
    </xf>
    <xf numFmtId="176" fontId="11" fillId="6" borderId="2" xfId="0" applyNumberFormat="1" applyFont="1" applyFill="1" applyBorder="1" applyAlignment="1">
      <alignment vertical="center"/>
    </xf>
    <xf numFmtId="177" fontId="8" fillId="0" borderId="4" xfId="0" applyNumberFormat="1" applyFont="1" applyBorder="1" applyAlignment="1">
      <alignment horizontal="left" vertical="center" wrapText="1"/>
    </xf>
    <xf numFmtId="177" fontId="8" fillId="0" borderId="5" xfId="0" applyNumberFormat="1" applyFont="1" applyBorder="1" applyAlignment="1">
      <alignment horizontal="left" vertical="center" wrapText="1"/>
    </xf>
    <xf numFmtId="177" fontId="8" fillId="0" borderId="0" xfId="0" applyNumberFormat="1" applyFont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vertical="center"/>
    </xf>
    <xf numFmtId="10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0" fontId="8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76" fontId="11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5"/>
  <sheetViews>
    <sheetView tabSelected="1" topLeftCell="A16" workbookViewId="0">
      <selection activeCell="K63" sqref="K63"/>
    </sheetView>
  </sheetViews>
  <sheetFormatPr defaultColWidth="9" defaultRowHeight="12"/>
  <cols>
    <col min="1" max="1" width="10.75" style="47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9.625" style="3" customWidth="1"/>
    <col min="9" max="9" width="13.875" style="3" customWidth="1"/>
    <col min="10" max="10" width="7.75" style="4" customWidth="1"/>
    <col min="11" max="11" width="31.5" style="5" customWidth="1"/>
    <col min="12" max="12" width="17.25" style="5" customWidth="1"/>
    <col min="13" max="13" width="19.625" style="5" customWidth="1"/>
    <col min="14" max="14" width="5.625" style="5" customWidth="1"/>
    <col min="15" max="15" width="13.125" style="5" customWidth="1"/>
    <col min="16" max="16384" width="9" style="5"/>
  </cols>
  <sheetData>
    <row r="1" ht="21.95" customHeight="1" spans="1:14">
      <c r="A1" s="48" t="s">
        <v>0</v>
      </c>
      <c r="B1" s="6"/>
      <c r="C1" s="6"/>
      <c r="D1" s="6"/>
      <c r="E1" s="6"/>
      <c r="F1" s="6"/>
      <c r="G1" s="6"/>
      <c r="H1" s="6"/>
      <c r="I1" s="6"/>
      <c r="J1" s="6"/>
      <c r="K1" s="56"/>
      <c r="L1" s="56"/>
      <c r="M1" s="70"/>
      <c r="N1" s="70"/>
    </row>
    <row r="2" ht="25" customHeight="1" spans="1:14">
      <c r="A2" s="49" t="s">
        <v>1</v>
      </c>
      <c r="B2" s="50" t="s">
        <v>2</v>
      </c>
      <c r="C2" s="51" t="s">
        <v>3</v>
      </c>
      <c r="D2" s="51">
        <v>1698062.5</v>
      </c>
      <c r="E2" s="52" t="s">
        <v>4</v>
      </c>
      <c r="F2" s="51" t="s">
        <v>5</v>
      </c>
      <c r="G2" s="52" t="s">
        <v>6</v>
      </c>
      <c r="H2" s="99" t="s">
        <v>7</v>
      </c>
      <c r="I2" s="108"/>
      <c r="J2" s="109"/>
      <c r="K2" s="110" t="s">
        <v>8</v>
      </c>
      <c r="L2" s="56"/>
      <c r="M2" s="70"/>
      <c r="N2" s="70"/>
    </row>
    <row r="3" ht="18" customHeight="1" spans="1:14">
      <c r="A3" s="49" t="s">
        <v>9</v>
      </c>
      <c r="B3" s="54"/>
      <c r="C3" s="51" t="s">
        <v>10</v>
      </c>
      <c r="D3" s="51"/>
      <c r="E3" s="55"/>
      <c r="F3" s="55"/>
      <c r="G3" s="55"/>
      <c r="H3" s="56"/>
      <c r="I3" s="56"/>
      <c r="J3" s="56"/>
      <c r="K3" s="111" t="s">
        <v>11</v>
      </c>
      <c r="L3" s="56"/>
      <c r="M3" s="70"/>
      <c r="N3" s="70"/>
    </row>
    <row r="4" ht="18" customHeight="1" spans="1:14">
      <c r="A4" s="57" t="s">
        <v>12</v>
      </c>
      <c r="B4" s="55"/>
      <c r="C4" s="55"/>
      <c r="D4" s="55"/>
      <c r="E4" s="55"/>
      <c r="F4" s="55"/>
      <c r="G4" s="55"/>
      <c r="H4" s="56"/>
      <c r="I4" s="56"/>
      <c r="J4" s="56"/>
      <c r="K4" s="56"/>
      <c r="L4" s="56"/>
      <c r="M4" s="70"/>
      <c r="N4" s="70"/>
    </row>
    <row r="5" ht="18" customHeight="1" spans="1:14">
      <c r="A5" s="58" t="s">
        <v>13</v>
      </c>
      <c r="B5" s="59" t="s">
        <v>14</v>
      </c>
      <c r="C5" s="59" t="s">
        <v>15</v>
      </c>
      <c r="D5" s="59"/>
      <c r="E5" s="59" t="s">
        <v>16</v>
      </c>
      <c r="F5" s="59"/>
      <c r="G5" s="59" t="s">
        <v>17</v>
      </c>
      <c r="H5" s="60" t="s">
        <v>18</v>
      </c>
      <c r="I5" s="60"/>
      <c r="J5" s="60"/>
      <c r="K5" s="70"/>
      <c r="L5" s="70"/>
      <c r="M5" s="70"/>
      <c r="N5" s="70"/>
    </row>
    <row r="6" ht="18" customHeight="1" spans="1:14">
      <c r="A6" s="58"/>
      <c r="B6" s="59"/>
      <c r="C6" s="59" t="s">
        <v>19</v>
      </c>
      <c r="D6" s="59" t="s">
        <v>20</v>
      </c>
      <c r="E6" s="59" t="s">
        <v>19</v>
      </c>
      <c r="F6" s="59" t="s">
        <v>20</v>
      </c>
      <c r="G6" s="59"/>
      <c r="H6" s="60" t="s">
        <v>21</v>
      </c>
      <c r="I6" s="60" t="s">
        <v>22</v>
      </c>
      <c r="J6" s="60" t="s">
        <v>23</v>
      </c>
      <c r="K6" s="70"/>
      <c r="L6" s="70"/>
      <c r="M6" s="70"/>
      <c r="N6" s="70"/>
    </row>
    <row r="7" ht="18" customHeight="1" spans="1:14">
      <c r="A7" s="61" t="s">
        <v>24</v>
      </c>
      <c r="B7" s="51">
        <f t="shared" ref="B7:B11" si="0">G7/(1+C7+E7)</f>
        <v>373211.009174312</v>
      </c>
      <c r="C7" s="62">
        <v>0.02</v>
      </c>
      <c r="D7" s="51">
        <f t="shared" ref="D7:D11" si="1">G7/(1+E7+C7)*C7</f>
        <v>7464.22018348624</v>
      </c>
      <c r="E7" s="62">
        <v>0.07</v>
      </c>
      <c r="F7" s="51">
        <f t="shared" ref="F7:F11" si="2">G7/(1+C7+E7)*E7</f>
        <v>26124.7706422018</v>
      </c>
      <c r="G7" s="63">
        <v>406800</v>
      </c>
      <c r="H7" s="64" t="s">
        <v>25</v>
      </c>
      <c r="I7" s="51">
        <v>200000</v>
      </c>
      <c r="J7" s="86" t="s">
        <v>26</v>
      </c>
      <c r="K7" s="70"/>
      <c r="L7" s="70"/>
      <c r="M7" s="70"/>
      <c r="N7" s="70"/>
    </row>
    <row r="8" ht="18" customHeight="1" spans="1:14">
      <c r="A8" s="61">
        <v>43959</v>
      </c>
      <c r="B8" s="51">
        <f t="shared" si="0"/>
        <v>317323.944954128</v>
      </c>
      <c r="C8" s="62">
        <v>0.02</v>
      </c>
      <c r="D8" s="51">
        <f t="shared" si="1"/>
        <v>6346.47889908257</v>
      </c>
      <c r="E8" s="62">
        <v>0.07</v>
      </c>
      <c r="F8" s="51">
        <f t="shared" si="2"/>
        <v>22212.676146789</v>
      </c>
      <c r="G8" s="63">
        <v>345883.1</v>
      </c>
      <c r="H8" s="64">
        <v>43977</v>
      </c>
      <c r="I8" s="51">
        <v>320000</v>
      </c>
      <c r="J8" s="86" t="s">
        <v>26</v>
      </c>
      <c r="K8" s="70"/>
      <c r="L8" s="70"/>
      <c r="M8" s="70"/>
      <c r="N8" s="70"/>
    </row>
    <row r="9" ht="18" customHeight="1" spans="1:14">
      <c r="A9" s="61">
        <v>44201</v>
      </c>
      <c r="B9" s="51">
        <f t="shared" si="0"/>
        <v>597935.834862385</v>
      </c>
      <c r="C9" s="100">
        <v>0.02</v>
      </c>
      <c r="D9" s="51">
        <f t="shared" si="1"/>
        <v>11958.7166972477</v>
      </c>
      <c r="E9" s="100">
        <v>0.07</v>
      </c>
      <c r="F9" s="51">
        <f t="shared" si="2"/>
        <v>41855.508440367</v>
      </c>
      <c r="G9" s="63">
        <v>651750.06</v>
      </c>
      <c r="H9" s="64">
        <v>44223</v>
      </c>
      <c r="I9" s="51">
        <v>400000</v>
      </c>
      <c r="J9" s="86" t="s">
        <v>27</v>
      </c>
      <c r="K9" s="55"/>
      <c r="L9" s="70"/>
      <c r="M9" s="70"/>
      <c r="N9" s="70"/>
    </row>
    <row r="10" ht="18" customHeight="1" spans="1:14">
      <c r="A10" s="61">
        <v>44624</v>
      </c>
      <c r="B10" s="51">
        <f t="shared" si="0"/>
        <v>-350859.201834862</v>
      </c>
      <c r="C10" s="100">
        <v>0.02</v>
      </c>
      <c r="D10" s="51">
        <f t="shared" si="1"/>
        <v>-7017.18403669725</v>
      </c>
      <c r="E10" s="100">
        <v>0.07</v>
      </c>
      <c r="F10" s="51">
        <f t="shared" si="2"/>
        <v>-24560.1441284404</v>
      </c>
      <c r="G10" s="63">
        <v>-382436.53</v>
      </c>
      <c r="H10" s="64"/>
      <c r="I10" s="51"/>
      <c r="J10" s="86"/>
      <c r="K10" s="112"/>
      <c r="L10" s="70"/>
      <c r="M10" s="70"/>
      <c r="N10" s="70"/>
    </row>
    <row r="11" ht="18" customHeight="1" spans="1:14">
      <c r="A11" s="61"/>
      <c r="B11" s="51">
        <f t="shared" si="0"/>
        <v>0</v>
      </c>
      <c r="C11" s="100">
        <v>0.02</v>
      </c>
      <c r="D11" s="51">
        <f t="shared" si="1"/>
        <v>0</v>
      </c>
      <c r="E11" s="100">
        <v>0.07</v>
      </c>
      <c r="F11" s="51">
        <f t="shared" si="2"/>
        <v>0</v>
      </c>
      <c r="G11" s="63"/>
      <c r="H11" s="64"/>
      <c r="I11" s="51"/>
      <c r="J11" s="86"/>
      <c r="K11" s="55"/>
      <c r="L11" s="70"/>
      <c r="M11" s="70"/>
      <c r="N11" s="70"/>
    </row>
    <row r="12" ht="18" customHeight="1" spans="1:14">
      <c r="A12" s="65" t="s">
        <v>28</v>
      </c>
      <c r="B12" s="66">
        <f t="shared" ref="B12:G12" si="3">SUM(B7:B11)</f>
        <v>937611.587155963</v>
      </c>
      <c r="C12" s="67"/>
      <c r="D12" s="67">
        <f t="shared" si="3"/>
        <v>18752.2317431193</v>
      </c>
      <c r="E12" s="67"/>
      <c r="F12" s="68">
        <f t="shared" si="3"/>
        <v>65632.8111009174</v>
      </c>
      <c r="G12" s="67">
        <f t="shared" si="3"/>
        <v>1021996.63</v>
      </c>
      <c r="H12" s="69"/>
      <c r="I12" s="67">
        <f>SUM(I7:I11)</f>
        <v>920000</v>
      </c>
      <c r="J12" s="69"/>
      <c r="K12" s="55"/>
      <c r="L12" s="92"/>
      <c r="M12" s="70"/>
      <c r="N12" s="70"/>
    </row>
    <row r="13" ht="18" customHeight="1" spans="1:15">
      <c r="A13" s="57" t="s">
        <v>29</v>
      </c>
      <c r="B13" s="70"/>
      <c r="C13" s="55"/>
      <c r="D13" s="55"/>
      <c r="E13" s="55"/>
      <c r="F13" s="55"/>
      <c r="G13" s="55"/>
      <c r="H13" s="55"/>
      <c r="I13" s="55"/>
      <c r="J13" s="55"/>
      <c r="K13" s="113"/>
      <c r="L13" s="114"/>
      <c r="M13" s="114"/>
      <c r="N13" s="114"/>
      <c r="O13" s="115"/>
    </row>
    <row r="14" s="1" customFormat="1" ht="18" customHeight="1" spans="1:15">
      <c r="A14" s="58" t="s">
        <v>30</v>
      </c>
      <c r="B14" s="59" t="s">
        <v>31</v>
      </c>
      <c r="C14" s="59" t="s">
        <v>32</v>
      </c>
      <c r="D14" s="59" t="s">
        <v>33</v>
      </c>
      <c r="E14" s="59" t="s">
        <v>19</v>
      </c>
      <c r="F14" s="59" t="s">
        <v>34</v>
      </c>
      <c r="G14" s="59" t="s">
        <v>17</v>
      </c>
      <c r="H14" s="59" t="s">
        <v>35</v>
      </c>
      <c r="I14" s="59" t="s">
        <v>36</v>
      </c>
      <c r="J14" s="59" t="s">
        <v>23</v>
      </c>
      <c r="K14" s="93" t="s">
        <v>37</v>
      </c>
      <c r="L14" s="60" t="s">
        <v>38</v>
      </c>
      <c r="M14" s="60" t="s">
        <v>39</v>
      </c>
      <c r="N14" s="60" t="s">
        <v>40</v>
      </c>
      <c r="O14" s="16" t="s">
        <v>41</v>
      </c>
    </row>
    <row r="15" s="1" customFormat="1" ht="18" customHeight="1" spans="1:15">
      <c r="A15" s="71" t="s">
        <v>42</v>
      </c>
      <c r="B15" s="72">
        <f t="shared" ref="B15:B23" si="4">ROUND(G15/(1+E15),2)</f>
        <v>284403.67</v>
      </c>
      <c r="C15" s="73">
        <v>1</v>
      </c>
      <c r="D15" s="74" t="s">
        <v>43</v>
      </c>
      <c r="E15" s="75">
        <v>0.09</v>
      </c>
      <c r="F15" s="72">
        <f t="shared" ref="F15:F21" si="5">ROUND(G15/(1+E15)*E15,2)</f>
        <v>25596.33</v>
      </c>
      <c r="G15" s="63">
        <v>310000</v>
      </c>
      <c r="H15" s="64"/>
      <c r="I15" s="51">
        <v>180000</v>
      </c>
      <c r="J15" s="86"/>
      <c r="K15" s="94" t="s">
        <v>44</v>
      </c>
      <c r="L15" s="95"/>
      <c r="M15" s="74" t="s">
        <v>45</v>
      </c>
      <c r="N15" s="74"/>
      <c r="O15" s="42"/>
    </row>
    <row r="16" s="1" customFormat="1" ht="18" customHeight="1" spans="1:15">
      <c r="A16" s="71" t="s">
        <v>42</v>
      </c>
      <c r="B16" s="72">
        <f t="shared" si="4"/>
        <v>3715.6</v>
      </c>
      <c r="C16" s="73">
        <v>1</v>
      </c>
      <c r="D16" s="74" t="s">
        <v>46</v>
      </c>
      <c r="E16" s="75">
        <v>0.09</v>
      </c>
      <c r="F16" s="72">
        <f t="shared" si="5"/>
        <v>334.4</v>
      </c>
      <c r="G16" s="63">
        <v>4050</v>
      </c>
      <c r="H16" s="101"/>
      <c r="I16" s="51"/>
      <c r="J16" s="86"/>
      <c r="K16" s="94" t="s">
        <v>47</v>
      </c>
      <c r="L16" s="95"/>
      <c r="M16" s="74"/>
      <c r="N16" s="74"/>
      <c r="O16" s="42"/>
    </row>
    <row r="17" s="1" customFormat="1" ht="18" customHeight="1" spans="1:15">
      <c r="A17" s="71" t="s">
        <v>42</v>
      </c>
      <c r="B17" s="72">
        <f t="shared" si="4"/>
        <v>295.28</v>
      </c>
      <c r="C17" s="73">
        <v>1</v>
      </c>
      <c r="D17" s="74" t="s">
        <v>46</v>
      </c>
      <c r="E17" s="75">
        <v>0.06</v>
      </c>
      <c r="F17" s="72">
        <f t="shared" si="5"/>
        <v>17.72</v>
      </c>
      <c r="G17" s="63">
        <v>313</v>
      </c>
      <c r="H17" s="64"/>
      <c r="I17" s="51"/>
      <c r="J17" s="86"/>
      <c r="K17" s="94" t="s">
        <v>48</v>
      </c>
      <c r="L17" s="95"/>
      <c r="M17" s="74"/>
      <c r="N17" s="74"/>
      <c r="O17" s="42"/>
    </row>
    <row r="18" s="1" customFormat="1" ht="18" customHeight="1" spans="1:15">
      <c r="A18" s="71" t="s">
        <v>42</v>
      </c>
      <c r="B18" s="72">
        <f t="shared" si="4"/>
        <v>1237.17</v>
      </c>
      <c r="C18" s="73">
        <v>1</v>
      </c>
      <c r="D18" s="74" t="s">
        <v>46</v>
      </c>
      <c r="E18" s="75">
        <v>0.13</v>
      </c>
      <c r="F18" s="72">
        <f t="shared" si="5"/>
        <v>160.83</v>
      </c>
      <c r="G18" s="63">
        <v>1398</v>
      </c>
      <c r="H18" s="64"/>
      <c r="I18" s="51"/>
      <c r="J18" s="86"/>
      <c r="K18" s="94" t="s">
        <v>49</v>
      </c>
      <c r="L18" s="95"/>
      <c r="M18" s="74"/>
      <c r="N18" s="74"/>
      <c r="O18" s="42"/>
    </row>
    <row r="19" s="1" customFormat="1" ht="18" customHeight="1" spans="1:15">
      <c r="A19" s="71"/>
      <c r="B19" s="72">
        <f t="shared" si="4"/>
        <v>0</v>
      </c>
      <c r="C19" s="73"/>
      <c r="D19" s="74" t="s">
        <v>43</v>
      </c>
      <c r="E19" s="75">
        <v>0</v>
      </c>
      <c r="F19" s="72">
        <f t="shared" si="5"/>
        <v>0</v>
      </c>
      <c r="G19" s="63"/>
      <c r="H19" s="64"/>
      <c r="I19" s="51">
        <v>5641.49</v>
      </c>
      <c r="J19" s="86" t="s">
        <v>50</v>
      </c>
      <c r="K19" s="94" t="s">
        <v>51</v>
      </c>
      <c r="L19" s="95"/>
      <c r="M19" s="74"/>
      <c r="N19" s="74"/>
      <c r="O19" s="42"/>
    </row>
    <row r="20" s="1" customFormat="1" ht="18" customHeight="1" spans="1:15">
      <c r="A20" s="71" t="s">
        <v>52</v>
      </c>
      <c r="B20" s="72">
        <f t="shared" si="4"/>
        <v>100000</v>
      </c>
      <c r="C20" s="73">
        <v>1</v>
      </c>
      <c r="D20" s="74" t="s">
        <v>46</v>
      </c>
      <c r="E20" s="75">
        <v>0</v>
      </c>
      <c r="F20" s="72">
        <f t="shared" si="5"/>
        <v>0</v>
      </c>
      <c r="G20" s="63">
        <v>100000</v>
      </c>
      <c r="H20" s="64"/>
      <c r="I20" s="51"/>
      <c r="J20" s="86"/>
      <c r="K20" s="94" t="s">
        <v>53</v>
      </c>
      <c r="L20" s="95" t="s">
        <v>54</v>
      </c>
      <c r="M20" s="74"/>
      <c r="N20" s="74"/>
      <c r="O20" s="42"/>
    </row>
    <row r="21" s="1" customFormat="1" ht="18" customHeight="1" spans="1:15">
      <c r="A21" s="71">
        <v>43922</v>
      </c>
      <c r="B21" s="72">
        <f t="shared" si="4"/>
        <v>2576.42</v>
      </c>
      <c r="C21" s="73">
        <v>1</v>
      </c>
      <c r="D21" s="74" t="s">
        <v>43</v>
      </c>
      <c r="E21" s="78">
        <v>0.06</v>
      </c>
      <c r="F21" s="72">
        <f t="shared" si="5"/>
        <v>154.59</v>
      </c>
      <c r="G21" s="63">
        <v>2731.01</v>
      </c>
      <c r="H21" s="64"/>
      <c r="I21" s="51"/>
      <c r="J21" s="86"/>
      <c r="K21" s="94" t="s">
        <v>55</v>
      </c>
      <c r="L21" s="95" t="s">
        <v>56</v>
      </c>
      <c r="M21" s="74"/>
      <c r="N21" s="74"/>
      <c r="O21" s="42"/>
    </row>
    <row r="22" s="1" customFormat="1" ht="18" customHeight="1" spans="1:15">
      <c r="A22" s="71">
        <v>43922</v>
      </c>
      <c r="B22" s="72">
        <f t="shared" si="4"/>
        <v>10000</v>
      </c>
      <c r="C22" s="73"/>
      <c r="D22" s="74" t="s">
        <v>57</v>
      </c>
      <c r="E22" s="75"/>
      <c r="F22" s="72">
        <f>ROUND(G22/(1+E22)*E22,2)</f>
        <v>0</v>
      </c>
      <c r="G22" s="63">
        <v>10000</v>
      </c>
      <c r="H22" s="64"/>
      <c r="I22" s="51"/>
      <c r="J22" s="86"/>
      <c r="K22" s="94" t="s">
        <v>58</v>
      </c>
      <c r="L22" s="95" t="s">
        <v>54</v>
      </c>
      <c r="M22" s="74"/>
      <c r="N22" s="74"/>
      <c r="O22" s="42"/>
    </row>
    <row r="23" s="1" customFormat="1" ht="18" customHeight="1" spans="1:15">
      <c r="A23" s="71">
        <v>43952</v>
      </c>
      <c r="B23" s="72">
        <f t="shared" si="4"/>
        <v>244572.48</v>
      </c>
      <c r="C23" s="73"/>
      <c r="D23" s="74" t="s">
        <v>43</v>
      </c>
      <c r="E23" s="78">
        <v>0.09</v>
      </c>
      <c r="F23" s="72">
        <f>ROUND(G23/(1+E23)*E23,2)</f>
        <v>22011.52</v>
      </c>
      <c r="G23" s="63">
        <f>66584+100000+100000</f>
        <v>266584</v>
      </c>
      <c r="H23" s="64"/>
      <c r="I23" s="51"/>
      <c r="J23" s="86"/>
      <c r="K23" s="94" t="s">
        <v>44</v>
      </c>
      <c r="L23" s="95" t="s">
        <v>59</v>
      </c>
      <c r="M23" s="74" t="s">
        <v>45</v>
      </c>
      <c r="N23" s="74"/>
      <c r="O23" s="42"/>
    </row>
    <row r="24" s="1" customFormat="1" ht="18" customHeight="1" spans="1:15">
      <c r="A24" s="71"/>
      <c r="B24" s="72">
        <f t="shared" ref="B24:B34" si="6">ROUND(G24/(1+E24),2)</f>
        <v>0</v>
      </c>
      <c r="C24" s="73"/>
      <c r="D24" s="74"/>
      <c r="E24" s="75"/>
      <c r="F24" s="72">
        <f>ROUND(G24/(1+E24)*E24,2)</f>
        <v>0</v>
      </c>
      <c r="G24" s="63"/>
      <c r="H24" s="50">
        <v>44005</v>
      </c>
      <c r="I24" s="72">
        <v>203299.86</v>
      </c>
      <c r="J24" s="74"/>
      <c r="K24" s="94" t="s">
        <v>44</v>
      </c>
      <c r="L24" s="95" t="s">
        <v>59</v>
      </c>
      <c r="M24" s="74"/>
      <c r="N24" s="74"/>
      <c r="O24" s="42"/>
    </row>
    <row r="25" s="1" customFormat="1" ht="18" customHeight="1" spans="1:15">
      <c r="A25" s="71"/>
      <c r="B25" s="72">
        <f t="shared" si="6"/>
        <v>0</v>
      </c>
      <c r="C25" s="73"/>
      <c r="D25" s="74"/>
      <c r="E25" s="75"/>
      <c r="F25" s="72">
        <v>153.47</v>
      </c>
      <c r="G25" s="63"/>
      <c r="H25" s="50">
        <v>44005</v>
      </c>
      <c r="I25" s="72">
        <v>102851.61</v>
      </c>
      <c r="J25" s="74"/>
      <c r="K25" s="94" t="s">
        <v>50</v>
      </c>
      <c r="L25" s="95" t="s">
        <v>60</v>
      </c>
      <c r="M25" s="74"/>
      <c r="N25" s="74"/>
      <c r="O25" s="42"/>
    </row>
    <row r="26" s="1" customFormat="1" ht="18" customHeight="1" spans="1:15">
      <c r="A26" s="71">
        <v>44197</v>
      </c>
      <c r="B26" s="72">
        <f t="shared" si="6"/>
        <v>248280.73</v>
      </c>
      <c r="C26" s="73" t="s">
        <v>61</v>
      </c>
      <c r="D26" s="74" t="s">
        <v>43</v>
      </c>
      <c r="E26" s="78">
        <v>0.09</v>
      </c>
      <c r="F26" s="72">
        <f t="shared" ref="F26:F38" si="7">ROUND(G26/(1+E26)*E26,2)</f>
        <v>22345.27</v>
      </c>
      <c r="G26" s="63">
        <v>270626</v>
      </c>
      <c r="H26" s="50"/>
      <c r="I26" s="72"/>
      <c r="J26" s="74"/>
      <c r="K26" s="94" t="s">
        <v>44</v>
      </c>
      <c r="L26" s="95" t="s">
        <v>62</v>
      </c>
      <c r="M26" s="74" t="s">
        <v>45</v>
      </c>
      <c r="N26" s="74"/>
      <c r="O26" s="42"/>
    </row>
    <row r="27" s="1" customFormat="1" ht="18" customHeight="1" spans="1:15">
      <c r="A27" s="71">
        <v>44197</v>
      </c>
      <c r="B27" s="72">
        <f t="shared" si="6"/>
        <v>10350</v>
      </c>
      <c r="C27" s="73" t="s">
        <v>63</v>
      </c>
      <c r="D27" s="74" t="s">
        <v>46</v>
      </c>
      <c r="E27" s="75"/>
      <c r="F27" s="72">
        <f t="shared" si="7"/>
        <v>0</v>
      </c>
      <c r="G27" s="63">
        <v>10350</v>
      </c>
      <c r="H27" s="50"/>
      <c r="I27" s="72"/>
      <c r="J27" s="74"/>
      <c r="K27" s="94" t="s">
        <v>64</v>
      </c>
      <c r="L27" s="95" t="s">
        <v>65</v>
      </c>
      <c r="M27" s="74"/>
      <c r="N27" s="74"/>
      <c r="O27" s="42"/>
    </row>
    <row r="28" s="1" customFormat="1" ht="18" customHeight="1" spans="1:15">
      <c r="A28" s="71">
        <v>44197</v>
      </c>
      <c r="B28" s="72">
        <f t="shared" si="6"/>
        <v>8100</v>
      </c>
      <c r="C28" s="73" t="s">
        <v>66</v>
      </c>
      <c r="D28" s="74" t="s">
        <v>46</v>
      </c>
      <c r="E28" s="75"/>
      <c r="F28" s="72">
        <f t="shared" si="7"/>
        <v>0</v>
      </c>
      <c r="G28" s="63">
        <v>8100</v>
      </c>
      <c r="H28" s="50"/>
      <c r="I28" s="72"/>
      <c r="J28" s="74"/>
      <c r="K28" s="94" t="s">
        <v>67</v>
      </c>
      <c r="L28" s="1" t="s">
        <v>68</v>
      </c>
      <c r="M28" s="74"/>
      <c r="N28" s="74"/>
      <c r="O28" s="42"/>
    </row>
    <row r="29" s="1" customFormat="1" ht="18" customHeight="1" spans="1:15">
      <c r="A29" s="71">
        <v>44197</v>
      </c>
      <c r="B29" s="72">
        <f t="shared" si="6"/>
        <v>13450</v>
      </c>
      <c r="C29" s="73" t="s">
        <v>63</v>
      </c>
      <c r="D29" s="74" t="s">
        <v>46</v>
      </c>
      <c r="E29" s="75"/>
      <c r="F29" s="72">
        <f t="shared" si="7"/>
        <v>0</v>
      </c>
      <c r="G29" s="63">
        <v>13450</v>
      </c>
      <c r="H29" s="50"/>
      <c r="I29" s="72"/>
      <c r="J29" s="74"/>
      <c r="K29" s="94" t="s">
        <v>69</v>
      </c>
      <c r="L29" s="95" t="s">
        <v>70</v>
      </c>
      <c r="M29" s="74"/>
      <c r="N29" s="74"/>
      <c r="O29" s="42"/>
    </row>
    <row r="30" s="1" customFormat="1" ht="18" customHeight="1" spans="1:15">
      <c r="A30" s="71">
        <v>44197</v>
      </c>
      <c r="B30" s="72">
        <f t="shared" si="6"/>
        <v>8752.29</v>
      </c>
      <c r="C30" s="73" t="s">
        <v>63</v>
      </c>
      <c r="D30" s="74" t="s">
        <v>43</v>
      </c>
      <c r="E30" s="78">
        <v>0.09</v>
      </c>
      <c r="F30" s="72">
        <f t="shared" si="7"/>
        <v>787.71</v>
      </c>
      <c r="G30" s="63">
        <v>9540</v>
      </c>
      <c r="H30" s="50"/>
      <c r="I30" s="72"/>
      <c r="J30" s="74"/>
      <c r="K30" s="94" t="s">
        <v>71</v>
      </c>
      <c r="L30" s="95" t="s">
        <v>72</v>
      </c>
      <c r="M30" s="74"/>
      <c r="N30" s="74"/>
      <c r="O30" s="42"/>
    </row>
    <row r="31" s="1" customFormat="1" ht="18" customHeight="1" spans="1:15">
      <c r="A31" s="71">
        <v>44197</v>
      </c>
      <c r="B31" s="72">
        <f t="shared" si="6"/>
        <v>61345.57</v>
      </c>
      <c r="C31" s="73" t="s">
        <v>66</v>
      </c>
      <c r="D31" s="74" t="s">
        <v>43</v>
      </c>
      <c r="E31" s="78">
        <v>0.03</v>
      </c>
      <c r="F31" s="72">
        <f t="shared" si="7"/>
        <v>1840.37</v>
      </c>
      <c r="G31" s="63">
        <v>63185.94</v>
      </c>
      <c r="H31" s="50"/>
      <c r="I31" s="72"/>
      <c r="J31" s="74"/>
      <c r="K31" s="94" t="s">
        <v>73</v>
      </c>
      <c r="L31" s="95" t="s">
        <v>74</v>
      </c>
      <c r="M31" s="74" t="s">
        <v>75</v>
      </c>
      <c r="N31" s="74"/>
      <c r="O31" s="42" t="s">
        <v>76</v>
      </c>
    </row>
    <row r="32" s="1" customFormat="1" ht="18" customHeight="1" spans="1:15">
      <c r="A32" s="71">
        <v>44197</v>
      </c>
      <c r="B32" s="72">
        <f t="shared" si="6"/>
        <v>4251.31</v>
      </c>
      <c r="C32" s="73"/>
      <c r="D32" s="74" t="s">
        <v>46</v>
      </c>
      <c r="E32" s="75"/>
      <c r="F32" s="72">
        <f t="shared" si="7"/>
        <v>0</v>
      </c>
      <c r="G32" s="63">
        <v>4251.31</v>
      </c>
      <c r="H32" s="50"/>
      <c r="I32" s="72"/>
      <c r="J32" s="74"/>
      <c r="K32" s="94" t="s">
        <v>77</v>
      </c>
      <c r="L32" s="95" t="s">
        <v>78</v>
      </c>
      <c r="M32" s="74"/>
      <c r="N32" s="74"/>
      <c r="O32" s="42"/>
    </row>
    <row r="33" s="1" customFormat="1" ht="18" customHeight="1" spans="1:15">
      <c r="A33" s="71">
        <v>44197</v>
      </c>
      <c r="B33" s="72">
        <f t="shared" ref="B33:B38" si="8">ROUND(G33/(1+E33),2)</f>
        <v>99292.04</v>
      </c>
      <c r="C33" s="73" t="s">
        <v>66</v>
      </c>
      <c r="D33" s="74" t="s">
        <v>43</v>
      </c>
      <c r="E33" s="78">
        <v>0.13</v>
      </c>
      <c r="F33" s="72">
        <f t="shared" si="7"/>
        <v>12907.96</v>
      </c>
      <c r="G33" s="63">
        <v>112200</v>
      </c>
      <c r="H33" s="50"/>
      <c r="I33" s="72"/>
      <c r="J33" s="74"/>
      <c r="K33" s="94" t="s">
        <v>44</v>
      </c>
      <c r="L33" s="95" t="s">
        <v>62</v>
      </c>
      <c r="M33" s="74" t="s">
        <v>79</v>
      </c>
      <c r="N33" s="74"/>
      <c r="O33" s="42"/>
    </row>
    <row r="34" s="1" customFormat="1" ht="18" customHeight="1" spans="1:15">
      <c r="A34" s="71">
        <v>44197</v>
      </c>
      <c r="B34" s="72">
        <f t="shared" si="8"/>
        <v>135922.33</v>
      </c>
      <c r="C34" s="73" t="s">
        <v>63</v>
      </c>
      <c r="D34" s="74" t="s">
        <v>43</v>
      </c>
      <c r="E34" s="78">
        <v>0.03</v>
      </c>
      <c r="F34" s="72">
        <f t="shared" si="7"/>
        <v>4077.67</v>
      </c>
      <c r="G34" s="63">
        <v>140000</v>
      </c>
      <c r="H34" s="50"/>
      <c r="I34" s="72"/>
      <c r="J34" s="74"/>
      <c r="K34" s="94" t="s">
        <v>80</v>
      </c>
      <c r="L34" s="95" t="s">
        <v>62</v>
      </c>
      <c r="M34" s="74" t="s">
        <v>81</v>
      </c>
      <c r="N34" s="74"/>
      <c r="O34" s="42"/>
    </row>
    <row r="35" s="1" customFormat="1" ht="18" customHeight="1" spans="1:15">
      <c r="A35" s="71"/>
      <c r="B35" s="72">
        <f t="shared" si="8"/>
        <v>0</v>
      </c>
      <c r="C35" s="73"/>
      <c r="D35" s="74"/>
      <c r="E35" s="75"/>
      <c r="F35" s="72">
        <f t="shared" si="7"/>
        <v>0</v>
      </c>
      <c r="G35" s="63"/>
      <c r="H35" s="50">
        <v>44234</v>
      </c>
      <c r="I35" s="51">
        <v>375434.45</v>
      </c>
      <c r="J35" s="86" t="s">
        <v>82</v>
      </c>
      <c r="K35" s="116" t="s">
        <v>44</v>
      </c>
      <c r="L35" s="95" t="s">
        <v>62</v>
      </c>
      <c r="M35" s="74"/>
      <c r="N35" s="74"/>
      <c r="O35" s="42"/>
    </row>
    <row r="36" s="1" customFormat="1" ht="18" customHeight="1" spans="1:15">
      <c r="A36" s="71"/>
      <c r="B36" s="72">
        <f t="shared" si="8"/>
        <v>0</v>
      </c>
      <c r="C36" s="73"/>
      <c r="D36" s="74"/>
      <c r="E36" s="75"/>
      <c r="F36" s="72">
        <f t="shared" si="7"/>
        <v>0</v>
      </c>
      <c r="G36" s="63"/>
      <c r="H36" s="50"/>
      <c r="I36" s="72"/>
      <c r="J36" s="74"/>
      <c r="K36" s="94"/>
      <c r="L36" s="95"/>
      <c r="M36" s="74"/>
      <c r="N36" s="74"/>
      <c r="O36" s="42"/>
    </row>
    <row r="37" s="1" customFormat="1" ht="18" customHeight="1" spans="1:15">
      <c r="A37" s="71"/>
      <c r="B37" s="72">
        <f t="shared" si="8"/>
        <v>0</v>
      </c>
      <c r="C37" s="73"/>
      <c r="D37" s="74"/>
      <c r="E37" s="75"/>
      <c r="F37" s="72">
        <f t="shared" si="7"/>
        <v>0</v>
      </c>
      <c r="G37" s="63"/>
      <c r="H37" s="50"/>
      <c r="I37" s="72"/>
      <c r="J37" s="74"/>
      <c r="K37" s="94"/>
      <c r="L37" s="95"/>
      <c r="M37" s="74"/>
      <c r="N37" s="74"/>
      <c r="O37" s="42"/>
    </row>
    <row r="38" s="1" customFormat="1" ht="18" customHeight="1" spans="1:15">
      <c r="A38" s="71"/>
      <c r="B38" s="72">
        <f t="shared" si="8"/>
        <v>0</v>
      </c>
      <c r="C38" s="73"/>
      <c r="D38" s="74"/>
      <c r="E38" s="75"/>
      <c r="F38" s="72">
        <f t="shared" si="7"/>
        <v>0</v>
      </c>
      <c r="G38" s="63"/>
      <c r="H38" s="50"/>
      <c r="J38" s="74"/>
      <c r="K38" s="94"/>
      <c r="L38" s="95"/>
      <c r="M38" s="74"/>
      <c r="N38" s="74"/>
      <c r="O38" s="42"/>
    </row>
    <row r="39" s="1" customFormat="1" ht="18" customHeight="1" spans="1:15">
      <c r="A39" s="71"/>
      <c r="B39" s="72"/>
      <c r="C39" s="73"/>
      <c r="D39" s="74"/>
      <c r="E39" s="75"/>
      <c r="F39" s="72"/>
      <c r="G39" s="63"/>
      <c r="H39" s="50"/>
      <c r="J39" s="74"/>
      <c r="K39" s="94"/>
      <c r="L39" s="95"/>
      <c r="M39" s="74"/>
      <c r="N39" s="74"/>
      <c r="O39" s="42"/>
    </row>
    <row r="40" s="1" customFormat="1" ht="18" customHeight="1" spans="1:15">
      <c r="A40" s="71"/>
      <c r="B40" s="72"/>
      <c r="C40" s="73"/>
      <c r="D40" s="74"/>
      <c r="E40" s="75"/>
      <c r="F40" s="72"/>
      <c r="G40" s="63"/>
      <c r="H40" s="50"/>
      <c r="I40" s="1"/>
      <c r="J40" s="74"/>
      <c r="K40" s="94"/>
      <c r="L40" s="95"/>
      <c r="M40" s="74"/>
      <c r="N40" s="74"/>
      <c r="O40" s="42"/>
    </row>
    <row r="41" s="1" customFormat="1" ht="18" customHeight="1" spans="1:15">
      <c r="A41" s="71"/>
      <c r="B41" s="72"/>
      <c r="C41" s="73"/>
      <c r="D41" s="74"/>
      <c r="E41" s="75"/>
      <c r="F41" s="72"/>
      <c r="G41" s="63"/>
      <c r="H41" s="64" t="s">
        <v>83</v>
      </c>
      <c r="I41" s="117">
        <v>100</v>
      </c>
      <c r="J41" s="86" t="s">
        <v>84</v>
      </c>
      <c r="K41" s="94" t="s">
        <v>85</v>
      </c>
      <c r="L41" s="95"/>
      <c r="M41" s="74"/>
      <c r="N41" s="74"/>
      <c r="O41" s="42"/>
    </row>
    <row r="42" s="1" customFormat="1" ht="18" customHeight="1" spans="1:15">
      <c r="A42" s="71"/>
      <c r="B42" s="72">
        <f>ROUND(G42/(1+E42),2)</f>
        <v>4000</v>
      </c>
      <c r="C42" s="73"/>
      <c r="D42" s="74"/>
      <c r="E42" s="75"/>
      <c r="F42" s="72">
        <f t="shared" ref="F42:F52" si="9">ROUND(G42/(1+E42)*E42,2)</f>
        <v>0</v>
      </c>
      <c r="G42" s="63">
        <v>4000</v>
      </c>
      <c r="H42" s="64" t="s">
        <v>83</v>
      </c>
      <c r="I42" s="72">
        <v>4000</v>
      </c>
      <c r="J42" s="86" t="s">
        <v>84</v>
      </c>
      <c r="K42" s="94" t="s">
        <v>86</v>
      </c>
      <c r="L42" s="95"/>
      <c r="M42" s="74"/>
      <c r="N42" s="74"/>
      <c r="O42" s="42"/>
    </row>
    <row r="43" s="1" customFormat="1" ht="18" customHeight="1" spans="1:15">
      <c r="A43" s="71"/>
      <c r="B43" s="72">
        <f>ROUND(G43/(1+E43),2)</f>
        <v>0</v>
      </c>
      <c r="C43" s="73"/>
      <c r="D43" s="74"/>
      <c r="E43" s="75"/>
      <c r="F43" s="72">
        <f t="shared" si="9"/>
        <v>0</v>
      </c>
      <c r="G43" s="63"/>
      <c r="H43" s="64" t="s">
        <v>83</v>
      </c>
      <c r="I43" s="72">
        <v>6517.5</v>
      </c>
      <c r="J43" s="86" t="s">
        <v>84</v>
      </c>
      <c r="K43" s="94" t="s">
        <v>87</v>
      </c>
      <c r="L43" s="95"/>
      <c r="M43" s="74"/>
      <c r="N43" s="74"/>
      <c r="O43" s="42"/>
    </row>
    <row r="44" s="1" customFormat="1" ht="18" customHeight="1" spans="1:15">
      <c r="A44" s="71"/>
      <c r="B44" s="72">
        <f>ROUND(G44/(1+E44),2)</f>
        <v>0</v>
      </c>
      <c r="C44" s="73"/>
      <c r="D44" s="74"/>
      <c r="E44" s="75"/>
      <c r="F44" s="72">
        <f t="shared" si="9"/>
        <v>0</v>
      </c>
      <c r="G44" s="63"/>
      <c r="H44" s="64" t="s">
        <v>83</v>
      </c>
      <c r="I44" s="51">
        <v>13948.05</v>
      </c>
      <c r="J44" s="86" t="s">
        <v>84</v>
      </c>
      <c r="K44" s="94" t="s">
        <v>88</v>
      </c>
      <c r="L44" s="95"/>
      <c r="M44" s="74"/>
      <c r="N44" s="74"/>
      <c r="O44" s="42"/>
    </row>
    <row r="45" s="1" customFormat="1" ht="18" customHeight="1" spans="1:15">
      <c r="A45" s="71"/>
      <c r="B45" s="72">
        <f>ROUND(G45/(1+E45),2)</f>
        <v>0</v>
      </c>
      <c r="C45" s="73"/>
      <c r="D45" s="74"/>
      <c r="E45" s="75"/>
      <c r="F45" s="72">
        <f t="shared" si="9"/>
        <v>0</v>
      </c>
      <c r="G45" s="63"/>
      <c r="H45" s="64" t="s">
        <v>89</v>
      </c>
      <c r="I45" s="51">
        <v>200</v>
      </c>
      <c r="J45" s="86" t="s">
        <v>84</v>
      </c>
      <c r="K45" s="94" t="s">
        <v>85</v>
      </c>
      <c r="L45" s="95"/>
      <c r="M45" s="74"/>
      <c r="N45" s="74"/>
      <c r="O45" s="42"/>
    </row>
    <row r="46" s="1" customFormat="1" ht="18" customHeight="1" spans="1:15">
      <c r="A46" s="71"/>
      <c r="B46" s="72"/>
      <c r="C46" s="73"/>
      <c r="D46" s="74"/>
      <c r="E46" s="75"/>
      <c r="F46" s="72">
        <f t="shared" si="9"/>
        <v>0</v>
      </c>
      <c r="G46" s="63"/>
      <c r="H46" s="64" t="s">
        <v>89</v>
      </c>
      <c r="I46" s="51">
        <v>3173.24</v>
      </c>
      <c r="J46" s="86" t="s">
        <v>84</v>
      </c>
      <c r="K46" s="94" t="s">
        <v>87</v>
      </c>
      <c r="L46" s="95"/>
      <c r="M46" s="74"/>
      <c r="N46" s="74"/>
      <c r="O46" s="42"/>
    </row>
    <row r="47" s="1" customFormat="1" ht="18" customHeight="1" spans="1:15">
      <c r="A47" s="71"/>
      <c r="B47" s="72"/>
      <c r="C47" s="73"/>
      <c r="D47" s="74"/>
      <c r="E47" s="75"/>
      <c r="F47" s="72">
        <f t="shared" si="9"/>
        <v>0</v>
      </c>
      <c r="G47" s="63"/>
      <c r="H47" s="64" t="s">
        <v>89</v>
      </c>
      <c r="I47" s="51">
        <v>7275.29</v>
      </c>
      <c r="J47" s="86" t="s">
        <v>84</v>
      </c>
      <c r="K47" s="94" t="s">
        <v>90</v>
      </c>
      <c r="L47" s="95"/>
      <c r="M47" s="74"/>
      <c r="N47" s="74"/>
      <c r="O47" s="42"/>
    </row>
    <row r="48" s="1" customFormat="1" ht="18" customHeight="1" spans="1:15">
      <c r="A48" s="71"/>
      <c r="B48" s="72">
        <f>ROUND(G48/(1+E48),2)</f>
        <v>0</v>
      </c>
      <c r="C48" s="73"/>
      <c r="D48" s="74"/>
      <c r="E48" s="75"/>
      <c r="F48" s="72">
        <f t="shared" si="9"/>
        <v>0</v>
      </c>
      <c r="G48" s="79"/>
      <c r="H48" s="64" t="s">
        <v>89</v>
      </c>
      <c r="I48" s="51">
        <v>3200</v>
      </c>
      <c r="J48" s="86" t="s">
        <v>84</v>
      </c>
      <c r="K48" s="94" t="s">
        <v>91</v>
      </c>
      <c r="L48" s="95"/>
      <c r="M48" s="74"/>
      <c r="N48" s="74"/>
      <c r="O48" s="42"/>
    </row>
    <row r="49" s="1" customFormat="1" ht="18" customHeight="1" spans="1:15">
      <c r="A49" s="71"/>
      <c r="B49" s="72">
        <v>8535.57</v>
      </c>
      <c r="C49" s="73"/>
      <c r="D49" s="74"/>
      <c r="E49" s="75"/>
      <c r="F49" s="72">
        <f t="shared" si="9"/>
        <v>0</v>
      </c>
      <c r="G49" s="79">
        <v>8535.57</v>
      </c>
      <c r="H49" s="64" t="s">
        <v>92</v>
      </c>
      <c r="I49" s="51">
        <f>G7/1.09*2.2927/100</f>
        <v>8556.60880733945</v>
      </c>
      <c r="J49" s="86" t="s">
        <v>84</v>
      </c>
      <c r="K49" s="94" t="s">
        <v>86</v>
      </c>
      <c r="L49" s="95"/>
      <c r="M49" s="74"/>
      <c r="N49" s="74"/>
      <c r="O49" s="42"/>
    </row>
    <row r="50" s="1" customFormat="1" ht="18" customHeight="1" spans="1:15">
      <c r="A50" s="71"/>
      <c r="B50" s="72"/>
      <c r="C50" s="73"/>
      <c r="D50" s="74"/>
      <c r="E50" s="75"/>
      <c r="F50" s="72">
        <f t="shared" si="9"/>
        <v>0</v>
      </c>
      <c r="G50" s="79"/>
      <c r="H50" s="64" t="s">
        <v>92</v>
      </c>
      <c r="I50" s="51">
        <f>B7*0.01</f>
        <v>3732.11009174312</v>
      </c>
      <c r="J50" s="86" t="s">
        <v>84</v>
      </c>
      <c r="K50" s="94" t="s">
        <v>91</v>
      </c>
      <c r="L50" s="95"/>
      <c r="M50" s="74"/>
      <c r="N50" s="74"/>
      <c r="O50" s="42"/>
    </row>
    <row r="51" s="1" customFormat="1" ht="18" customHeight="1" spans="1:15">
      <c r="A51" s="71"/>
      <c r="B51" s="72">
        <f>ROUND(G51/(1+E51),2)</f>
        <v>0</v>
      </c>
      <c r="C51" s="73"/>
      <c r="D51" s="74"/>
      <c r="E51" s="75"/>
      <c r="F51" s="72">
        <f t="shared" si="9"/>
        <v>0</v>
      </c>
      <c r="G51" s="79"/>
      <c r="H51" s="64" t="s">
        <v>92</v>
      </c>
      <c r="I51" s="51">
        <f>I7*0.01</f>
        <v>2000</v>
      </c>
      <c r="J51" s="86" t="s">
        <v>84</v>
      </c>
      <c r="K51" s="94" t="s">
        <v>93</v>
      </c>
      <c r="L51" s="95"/>
      <c r="M51" s="74"/>
      <c r="N51" s="74"/>
      <c r="O51" s="42"/>
    </row>
    <row r="52" s="1" customFormat="1" ht="18" customHeight="1" spans="1:15">
      <c r="A52" s="71"/>
      <c r="B52" s="72">
        <f>ROUND(G52/(1+E52),2)</f>
        <v>0</v>
      </c>
      <c r="C52" s="73"/>
      <c r="D52" s="74"/>
      <c r="E52" s="75"/>
      <c r="F52" s="72">
        <f t="shared" si="9"/>
        <v>0</v>
      </c>
      <c r="G52" s="79"/>
      <c r="H52" s="64" t="s">
        <v>92</v>
      </c>
      <c r="I52" s="51">
        <v>100</v>
      </c>
      <c r="J52" s="86" t="s">
        <v>94</v>
      </c>
      <c r="K52" s="94"/>
      <c r="L52" s="95"/>
      <c r="M52" s="74"/>
      <c r="N52" s="74"/>
      <c r="O52" s="42"/>
    </row>
    <row r="53" ht="18" customHeight="1" spans="1:14">
      <c r="A53" s="65" t="s">
        <v>28</v>
      </c>
      <c r="B53" s="66">
        <f>SUM(B15:B52)</f>
        <v>1249080.46</v>
      </c>
      <c r="C53" s="67"/>
      <c r="D53" s="80"/>
      <c r="E53" s="80"/>
      <c r="F53" s="68">
        <f>SUM(F15:F52)</f>
        <v>90387.84</v>
      </c>
      <c r="G53" s="67">
        <f>SUM(G15:G52)</f>
        <v>1339314.83</v>
      </c>
      <c r="H53" s="69"/>
      <c r="I53" s="67">
        <f>SUM(I15:I52)</f>
        <v>920030.208899083</v>
      </c>
      <c r="J53" s="69"/>
      <c r="K53" s="94"/>
      <c r="L53" s="70"/>
      <c r="M53" s="98"/>
      <c r="N53" s="98"/>
    </row>
    <row r="54" ht="18" customHeight="1" spans="1:14">
      <c r="A54" s="81"/>
      <c r="B54" s="82">
        <f>B12-B53</f>
        <v>-311468.872844037</v>
      </c>
      <c r="C54" s="82"/>
      <c r="D54" s="83"/>
      <c r="E54" s="83"/>
      <c r="F54" s="82">
        <f>F12-F53</f>
        <v>-24755.0288990826</v>
      </c>
      <c r="G54" s="82"/>
      <c r="H54" s="80" t="s">
        <v>95</v>
      </c>
      <c r="I54" s="67">
        <f>I12-I53</f>
        <v>-30.208899082616</v>
      </c>
      <c r="J54" s="70"/>
      <c r="K54" s="97"/>
      <c r="L54" s="70"/>
      <c r="M54" s="70"/>
      <c r="N54" s="70"/>
    </row>
    <row r="55" ht="18" customHeight="1" spans="1:14">
      <c r="A55" s="57" t="s">
        <v>96</v>
      </c>
      <c r="B55" s="55"/>
      <c r="C55" s="84"/>
      <c r="D55" s="55"/>
      <c r="E55" s="55"/>
      <c r="F55" s="70"/>
      <c r="G55" s="70"/>
      <c r="H55" s="55"/>
      <c r="I55" s="55"/>
      <c r="J55" s="92"/>
      <c r="K55" s="70"/>
      <c r="L55" s="70"/>
      <c r="M55" s="70"/>
      <c r="N55" s="70"/>
    </row>
    <row r="56" ht="18" customHeight="1" spans="1:14">
      <c r="A56" s="58" t="s">
        <v>97</v>
      </c>
      <c r="B56" s="59" t="s">
        <v>98</v>
      </c>
      <c r="C56" s="102"/>
      <c r="D56" s="60" t="s">
        <v>97</v>
      </c>
      <c r="E56" s="59" t="s">
        <v>19</v>
      </c>
      <c r="F56" s="59" t="s">
        <v>98</v>
      </c>
      <c r="G56" s="52" t="s">
        <v>99</v>
      </c>
      <c r="H56" s="103" t="s">
        <v>90</v>
      </c>
      <c r="I56" s="103" t="s">
        <v>88</v>
      </c>
      <c r="J56" s="92"/>
      <c r="K56" s="105" t="s">
        <v>100</v>
      </c>
      <c r="L56" s="70"/>
      <c r="M56" s="70"/>
      <c r="N56" s="70"/>
    </row>
    <row r="57" ht="18" customHeight="1" spans="1:14">
      <c r="A57" s="49" t="s">
        <v>101</v>
      </c>
      <c r="B57" s="72">
        <f>(B12-B53)*0.25</f>
        <v>-77867.2182110093</v>
      </c>
      <c r="C57" s="102"/>
      <c r="D57" s="85" t="s">
        <v>102</v>
      </c>
      <c r="E57" s="86" t="s">
        <v>103</v>
      </c>
      <c r="F57" s="87">
        <f>F12-F53</f>
        <v>-24755.0288990826</v>
      </c>
      <c r="G57" s="68">
        <f>D7</f>
        <v>7464.22018348624</v>
      </c>
      <c r="H57" s="68">
        <f>D8</f>
        <v>6346.47889908257</v>
      </c>
      <c r="I57" s="68">
        <f>D9</f>
        <v>11958.7166972477</v>
      </c>
      <c r="J57" s="92"/>
      <c r="K57" s="118">
        <f>D10</f>
        <v>-7017.18403669725</v>
      </c>
      <c r="L57" s="70"/>
      <c r="M57" s="70"/>
      <c r="N57" s="70"/>
    </row>
    <row r="58" ht="18" customHeight="1" spans="1:14">
      <c r="A58" s="49" t="s">
        <v>104</v>
      </c>
      <c r="B58" s="51">
        <f>G12*0.0003</f>
        <v>306.598989</v>
      </c>
      <c r="C58" s="102"/>
      <c r="D58" s="88" t="s">
        <v>105</v>
      </c>
      <c r="E58" s="52">
        <v>0.07</v>
      </c>
      <c r="F58" s="51">
        <f>F57*E58</f>
        <v>-1732.85202293578</v>
      </c>
      <c r="G58" s="51">
        <f>G57*0.07</f>
        <v>522.495412844037</v>
      </c>
      <c r="H58" s="51">
        <f>H57*0.07</f>
        <v>444.25352293578</v>
      </c>
      <c r="I58" s="51">
        <f>I57*0.07</f>
        <v>837.11016880734</v>
      </c>
      <c r="J58" s="92"/>
      <c r="K58" s="105">
        <f>K57*0.07</f>
        <v>-491.202882568807</v>
      </c>
      <c r="L58" s="70"/>
      <c r="M58" s="70"/>
      <c r="N58" s="70"/>
    </row>
    <row r="59" ht="18" customHeight="1" spans="1:14">
      <c r="A59" s="49" t="s">
        <v>106</v>
      </c>
      <c r="B59" s="51">
        <f>B12*0.0006</f>
        <v>562.566952293578</v>
      </c>
      <c r="C59" s="102"/>
      <c r="D59" s="88" t="s">
        <v>107</v>
      </c>
      <c r="E59" s="52">
        <v>0.03</v>
      </c>
      <c r="F59" s="51">
        <f>F57*E59</f>
        <v>-742.650866972477</v>
      </c>
      <c r="G59" s="51">
        <f>G57*0.03</f>
        <v>223.926605504587</v>
      </c>
      <c r="H59" s="51">
        <f>H57*E59</f>
        <v>190.394366972477</v>
      </c>
      <c r="I59" s="51">
        <f>I57*E59</f>
        <v>358.761500917431</v>
      </c>
      <c r="J59" s="92"/>
      <c r="K59" s="105">
        <f>K57*0.03</f>
        <v>-210.515521100917</v>
      </c>
      <c r="L59" s="70"/>
      <c r="M59" s="70"/>
      <c r="N59" s="70"/>
    </row>
    <row r="60" ht="18" customHeight="1" spans="1:14">
      <c r="A60" s="49"/>
      <c r="B60" s="69"/>
      <c r="C60" s="102"/>
      <c r="D60" s="88" t="s">
        <v>108</v>
      </c>
      <c r="E60" s="52">
        <v>0.02</v>
      </c>
      <c r="F60" s="51">
        <f>F57*E60</f>
        <v>-495.100577981652</v>
      </c>
      <c r="G60" s="51">
        <f>G57*0.02</f>
        <v>149.284403669725</v>
      </c>
      <c r="H60" s="51">
        <f>H57*E60</f>
        <v>126.929577981651</v>
      </c>
      <c r="I60" s="51">
        <f>I57*E60</f>
        <v>239.174333944954</v>
      </c>
      <c r="J60" s="92"/>
      <c r="K60" s="105">
        <f>K57*0.02</f>
        <v>-140.343680733945</v>
      </c>
      <c r="L60" s="70"/>
      <c r="M60" s="70"/>
      <c r="N60" s="70"/>
    </row>
    <row r="61" ht="23" customHeight="1" spans="1:14">
      <c r="A61" s="65" t="s">
        <v>109</v>
      </c>
      <c r="B61" s="66">
        <f>SUM(B57:B60)</f>
        <v>-76998.0522697157</v>
      </c>
      <c r="C61" s="102"/>
      <c r="D61" s="89" t="s">
        <v>109</v>
      </c>
      <c r="E61" s="89"/>
      <c r="F61" s="68">
        <f>SUM(F57:F60)</f>
        <v>-27725.6323669725</v>
      </c>
      <c r="G61" s="68">
        <f>SUM(G57:G60)</f>
        <v>8359.92660550459</v>
      </c>
      <c r="H61" s="68">
        <f>SUM(H57:H60)</f>
        <v>7108.05636697248</v>
      </c>
      <c r="I61" s="68">
        <f>SUM(I57:I60)</f>
        <v>13393.7627009174</v>
      </c>
      <c r="J61" s="92"/>
      <c r="K61" s="118">
        <f>SUM(K57:K60)</f>
        <v>-7859.24612110092</v>
      </c>
      <c r="L61" s="70"/>
      <c r="M61" s="70"/>
      <c r="N61" s="70"/>
    </row>
    <row r="62" ht="20" customHeight="1" spans="1:14">
      <c r="A62" s="57"/>
      <c r="B62" s="55"/>
      <c r="C62" s="84"/>
      <c r="D62" s="104" t="s">
        <v>104</v>
      </c>
      <c r="E62" s="105"/>
      <c r="F62" s="104"/>
      <c r="G62" s="105">
        <f>G7*0.0003</f>
        <v>122.04</v>
      </c>
      <c r="H62" s="51">
        <f>G8*0.0003</f>
        <v>103.76493</v>
      </c>
      <c r="I62" s="51">
        <f>G9*0.0003</f>
        <v>195.525018</v>
      </c>
      <c r="J62" s="92"/>
      <c r="K62" s="105">
        <f>G10*0.0003</f>
        <v>-114.730959</v>
      </c>
      <c r="L62" s="70"/>
      <c r="M62" s="70"/>
      <c r="N62" s="70"/>
    </row>
    <row r="63" ht="20" customHeight="1" spans="1:14">
      <c r="A63" s="57"/>
      <c r="B63" s="55"/>
      <c r="C63" s="84"/>
      <c r="D63" s="104" t="s">
        <v>106</v>
      </c>
      <c r="E63" s="105"/>
      <c r="F63" s="104"/>
      <c r="G63" s="105">
        <f>B7*0.0006</f>
        <v>223.926605504587</v>
      </c>
      <c r="H63" s="51">
        <f>B8*0.0006</f>
        <v>190.394366972477</v>
      </c>
      <c r="I63" s="51">
        <f>B9*0.0006</f>
        <v>358.761500917431</v>
      </c>
      <c r="J63" s="92"/>
      <c r="K63" s="105">
        <f>B10*0.0006</f>
        <v>-210.515521100917</v>
      </c>
      <c r="L63" s="70"/>
      <c r="M63" s="70"/>
      <c r="N63" s="70"/>
    </row>
    <row r="64" ht="20" customHeight="1" spans="1:14">
      <c r="A64" s="57"/>
      <c r="B64" s="55"/>
      <c r="C64" s="84"/>
      <c r="D64" s="104" t="s">
        <v>28</v>
      </c>
      <c r="E64" s="105"/>
      <c r="F64" s="104"/>
      <c r="G64" s="106">
        <f>G61+G62+G63</f>
        <v>8705.89321100917</v>
      </c>
      <c r="H64" s="107">
        <f>SUM(H61:H63)</f>
        <v>7402.21566394495</v>
      </c>
      <c r="I64" s="67">
        <f>I61+I62+I63</f>
        <v>13948.0492198349</v>
      </c>
      <c r="J64" s="92"/>
      <c r="K64" s="106">
        <f>K61+K62+K63</f>
        <v>-8184.49260120184</v>
      </c>
      <c r="L64" s="70"/>
      <c r="M64" s="70"/>
      <c r="N64" s="70"/>
    </row>
    <row r="65" ht="20" customHeight="1" spans="3:11">
      <c r="C65" s="2"/>
      <c r="D65" s="119" t="s">
        <v>110</v>
      </c>
      <c r="E65" s="120"/>
      <c r="F65" s="119"/>
      <c r="G65" s="121">
        <f>G7*0.01</f>
        <v>4068</v>
      </c>
      <c r="H65" s="67">
        <f>B8*0.01</f>
        <v>3173.23944954128</v>
      </c>
      <c r="I65" s="67">
        <f>G9*0.01</f>
        <v>6517.5006</v>
      </c>
      <c r="K65" s="106"/>
    </row>
    <row r="66" spans="3:7">
      <c r="C66" s="2"/>
      <c r="F66" s="5"/>
      <c r="G66" s="5"/>
    </row>
    <row r="67" spans="3:7">
      <c r="C67" s="2"/>
      <c r="F67" s="5"/>
      <c r="G67" s="5"/>
    </row>
    <row r="68" spans="3:7">
      <c r="C68" s="2"/>
      <c r="F68" s="5"/>
      <c r="G68" s="5"/>
    </row>
    <row r="69" spans="3:7">
      <c r="C69" s="2"/>
      <c r="F69" s="5"/>
      <c r="G69" s="5"/>
    </row>
    <row r="70" spans="3:7">
      <c r="C70" s="2"/>
      <c r="F70" s="5"/>
      <c r="G70" s="5"/>
    </row>
    <row r="71" spans="3:7">
      <c r="C71" s="2"/>
      <c r="F71" s="5"/>
      <c r="G71" s="5"/>
    </row>
    <row r="72" spans="3:7">
      <c r="C72" s="2"/>
      <c r="F72" s="5"/>
      <c r="G72" s="5"/>
    </row>
    <row r="73" spans="3:7">
      <c r="C73" s="2"/>
      <c r="F73" s="5"/>
      <c r="G73" s="5"/>
    </row>
    <row r="74" spans="3:7">
      <c r="C74" s="2"/>
      <c r="F74" s="5"/>
      <c r="G74" s="5"/>
    </row>
    <row r="75" spans="3:7">
      <c r="C75" s="2"/>
      <c r="F75" s="5"/>
      <c r="G75" s="5"/>
    </row>
    <row r="76" spans="3:7">
      <c r="C76" s="2"/>
      <c r="F76" s="5"/>
      <c r="G76" s="5"/>
    </row>
    <row r="77" spans="3:7">
      <c r="C77" s="2"/>
      <c r="F77" s="5"/>
      <c r="G77" s="5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</sheetData>
  <autoFilter ref="A14:O65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workbookViewId="0">
      <selection activeCell="J27" sqref="J27"/>
    </sheetView>
  </sheetViews>
  <sheetFormatPr defaultColWidth="9" defaultRowHeight="12"/>
  <cols>
    <col min="1" max="1" width="10.75" style="47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9.625" style="3" customWidth="1"/>
    <col min="9" max="9" width="13.875" style="3" customWidth="1"/>
    <col min="10" max="10" width="7.75" style="4" customWidth="1"/>
    <col min="11" max="11" width="31.5" style="5" customWidth="1"/>
    <col min="12" max="12" width="17.25" style="5" customWidth="1"/>
    <col min="13" max="13" width="11.625" style="5" customWidth="1"/>
    <col min="14" max="14" width="5.625" style="5" customWidth="1"/>
    <col min="15" max="16384" width="9" style="5"/>
  </cols>
  <sheetData>
    <row r="1" ht="21.95" customHeight="1" spans="1:14">
      <c r="A1" s="48" t="s">
        <v>111</v>
      </c>
      <c r="B1" s="6"/>
      <c r="C1" s="6"/>
      <c r="D1" s="6"/>
      <c r="E1" s="6"/>
      <c r="F1" s="6"/>
      <c r="G1" s="6"/>
      <c r="H1" s="6"/>
      <c r="I1" s="6"/>
      <c r="J1" s="6"/>
      <c r="K1" s="56"/>
      <c r="L1" s="56"/>
      <c r="M1" s="70"/>
      <c r="N1" s="70"/>
    </row>
    <row r="2" ht="18" customHeight="1" spans="1:14">
      <c r="A2" s="49" t="s">
        <v>1</v>
      </c>
      <c r="B2" s="50" t="s">
        <v>2</v>
      </c>
      <c r="C2" s="51" t="s">
        <v>3</v>
      </c>
      <c r="D2" s="51">
        <v>1698062.5</v>
      </c>
      <c r="E2" s="52" t="s">
        <v>4</v>
      </c>
      <c r="F2" s="51" t="s">
        <v>112</v>
      </c>
      <c r="G2" s="52" t="s">
        <v>6</v>
      </c>
      <c r="H2" s="53" t="s">
        <v>113</v>
      </c>
      <c r="I2" s="90"/>
      <c r="J2" s="91"/>
      <c r="K2" s="56"/>
      <c r="L2" s="56"/>
      <c r="M2" s="70"/>
      <c r="N2" s="70"/>
    </row>
    <row r="3" ht="18" customHeight="1" spans="1:14">
      <c r="A3" s="49" t="s">
        <v>9</v>
      </c>
      <c r="B3" s="54"/>
      <c r="C3" s="51" t="s">
        <v>10</v>
      </c>
      <c r="D3" s="51"/>
      <c r="E3" s="55"/>
      <c r="F3" s="55"/>
      <c r="G3" s="55"/>
      <c r="H3" s="56"/>
      <c r="I3" s="56"/>
      <c r="J3" s="56"/>
      <c r="K3" s="56"/>
      <c r="L3" s="56"/>
      <c r="M3" s="70"/>
      <c r="N3" s="70"/>
    </row>
    <row r="4" ht="18" customHeight="1" spans="1:14">
      <c r="A4" s="57" t="s">
        <v>12</v>
      </c>
      <c r="B4" s="55"/>
      <c r="C4" s="55"/>
      <c r="D4" s="55"/>
      <c r="E4" s="55"/>
      <c r="F4" s="55"/>
      <c r="G4" s="55"/>
      <c r="H4" s="56"/>
      <c r="I4" s="56"/>
      <c r="J4" s="56"/>
      <c r="K4" s="56"/>
      <c r="L4" s="56"/>
      <c r="M4" s="70"/>
      <c r="N4" s="70"/>
    </row>
    <row r="5" ht="18" customHeight="1" spans="1:14">
      <c r="A5" s="58" t="s">
        <v>13</v>
      </c>
      <c r="B5" s="59" t="s">
        <v>14</v>
      </c>
      <c r="C5" s="59" t="s">
        <v>15</v>
      </c>
      <c r="D5" s="59"/>
      <c r="E5" s="59" t="s">
        <v>16</v>
      </c>
      <c r="F5" s="59"/>
      <c r="G5" s="59" t="s">
        <v>17</v>
      </c>
      <c r="H5" s="60" t="s">
        <v>18</v>
      </c>
      <c r="I5" s="60"/>
      <c r="J5" s="60"/>
      <c r="K5" s="70"/>
      <c r="L5" s="70"/>
      <c r="M5" s="70"/>
      <c r="N5" s="70"/>
    </row>
    <row r="6" ht="18" customHeight="1" spans="1:14">
      <c r="A6" s="58"/>
      <c r="B6" s="59"/>
      <c r="C6" s="59" t="s">
        <v>19</v>
      </c>
      <c r="D6" s="59" t="s">
        <v>20</v>
      </c>
      <c r="E6" s="59" t="s">
        <v>19</v>
      </c>
      <c r="F6" s="59" t="s">
        <v>20</v>
      </c>
      <c r="G6" s="59"/>
      <c r="H6" s="60" t="s">
        <v>21</v>
      </c>
      <c r="I6" s="60" t="s">
        <v>22</v>
      </c>
      <c r="J6" s="60" t="s">
        <v>23</v>
      </c>
      <c r="K6" s="70"/>
      <c r="L6" s="70"/>
      <c r="M6" s="70"/>
      <c r="N6" s="70"/>
    </row>
    <row r="7" ht="18" customHeight="1" spans="1:14">
      <c r="A7" s="61" t="s">
        <v>24</v>
      </c>
      <c r="B7" s="51">
        <f t="shared" ref="B7:B11" si="0">G7/(1+C7+E7)</f>
        <v>372293.577981651</v>
      </c>
      <c r="C7" s="62">
        <v>0.02</v>
      </c>
      <c r="D7" s="51">
        <f t="shared" ref="D7:D11" si="1">G7/(1+E7+C7)*C7</f>
        <v>7445.87155963303</v>
      </c>
      <c r="E7" s="62">
        <v>0.07</v>
      </c>
      <c r="F7" s="51">
        <f t="shared" ref="F7:F11" si="2">G7/(1+C7+E7)*E7</f>
        <v>26060.5504587156</v>
      </c>
      <c r="G7" s="63">
        <v>405800</v>
      </c>
      <c r="H7" s="64" t="s">
        <v>25</v>
      </c>
      <c r="I7" s="51">
        <v>200000</v>
      </c>
      <c r="J7" s="86" t="s">
        <v>26</v>
      </c>
      <c r="K7" s="70"/>
      <c r="L7" s="70"/>
      <c r="M7" s="70"/>
      <c r="N7" s="70"/>
    </row>
    <row r="8" ht="18" customHeight="1" spans="1:14">
      <c r="A8" s="61">
        <v>43959</v>
      </c>
      <c r="B8" s="51">
        <f t="shared" si="0"/>
        <v>317323.944954128</v>
      </c>
      <c r="C8" s="62">
        <v>0.02</v>
      </c>
      <c r="D8" s="51">
        <f t="shared" si="1"/>
        <v>6346.47889908257</v>
      </c>
      <c r="E8" s="62">
        <v>0.07</v>
      </c>
      <c r="F8" s="51">
        <f t="shared" si="2"/>
        <v>22212.676146789</v>
      </c>
      <c r="G8" s="63">
        <v>345883.1</v>
      </c>
      <c r="H8" s="64">
        <v>43977</v>
      </c>
      <c r="I8" s="51">
        <v>320000</v>
      </c>
      <c r="J8" s="86" t="s">
        <v>26</v>
      </c>
      <c r="K8" s="70"/>
      <c r="L8" s="70"/>
      <c r="M8" s="70"/>
      <c r="N8" s="70"/>
    </row>
    <row r="9" ht="18" customHeight="1" spans="1:14">
      <c r="A9" s="61"/>
      <c r="B9" s="51">
        <f t="shared" si="0"/>
        <v>0</v>
      </c>
      <c r="C9" s="62"/>
      <c r="D9" s="51">
        <f t="shared" si="1"/>
        <v>0</v>
      </c>
      <c r="E9" s="62">
        <v>0.08</v>
      </c>
      <c r="F9" s="51">
        <f t="shared" si="2"/>
        <v>0</v>
      </c>
      <c r="G9" s="63"/>
      <c r="H9" s="64"/>
      <c r="I9" s="51"/>
      <c r="J9" s="86"/>
      <c r="K9" s="70">
        <f>(G7+G8)/1.09*2.2927/100</f>
        <v>15810.8609483486</v>
      </c>
      <c r="L9" s="70"/>
      <c r="M9" s="70"/>
      <c r="N9" s="70"/>
    </row>
    <row r="10" ht="18" customHeight="1" spans="1:14">
      <c r="A10" s="61"/>
      <c r="B10" s="51">
        <f t="shared" si="0"/>
        <v>0</v>
      </c>
      <c r="C10" s="62"/>
      <c r="D10" s="51">
        <f t="shared" si="1"/>
        <v>0</v>
      </c>
      <c r="E10" s="62">
        <v>0.08</v>
      </c>
      <c r="F10" s="51">
        <f t="shared" si="2"/>
        <v>0</v>
      </c>
      <c r="G10" s="63"/>
      <c r="H10" s="64"/>
      <c r="I10" s="51"/>
      <c r="J10" s="86"/>
      <c r="K10" s="70"/>
      <c r="L10" s="70"/>
      <c r="M10" s="70"/>
      <c r="N10" s="70"/>
    </row>
    <row r="11" ht="18" customHeight="1" spans="1:14">
      <c r="A11" s="61"/>
      <c r="B11" s="51">
        <f t="shared" si="0"/>
        <v>0</v>
      </c>
      <c r="C11" s="62"/>
      <c r="D11" s="51">
        <f t="shared" si="1"/>
        <v>0</v>
      </c>
      <c r="E11" s="62">
        <v>0.08</v>
      </c>
      <c r="F11" s="51">
        <f t="shared" si="2"/>
        <v>0</v>
      </c>
      <c r="G11" s="63"/>
      <c r="H11" s="64"/>
      <c r="I11" s="51"/>
      <c r="J11" s="86"/>
      <c r="K11" s="70"/>
      <c r="L11" s="70"/>
      <c r="M11" s="70"/>
      <c r="N11" s="70"/>
    </row>
    <row r="12" ht="18" customHeight="1" spans="1:14">
      <c r="A12" s="65" t="s">
        <v>28</v>
      </c>
      <c r="B12" s="66">
        <f t="shared" ref="B12:G12" si="3">SUM(B7:B11)</f>
        <v>689617.52293578</v>
      </c>
      <c r="C12" s="67"/>
      <c r="D12" s="67">
        <f t="shared" si="3"/>
        <v>13792.3504587156</v>
      </c>
      <c r="E12" s="67"/>
      <c r="F12" s="68">
        <f t="shared" si="3"/>
        <v>48273.2266055046</v>
      </c>
      <c r="G12" s="67">
        <f t="shared" si="3"/>
        <v>751683.1</v>
      </c>
      <c r="H12" s="69"/>
      <c r="I12" s="67">
        <f>SUM(I7:I11)</f>
        <v>520000</v>
      </c>
      <c r="J12" s="69"/>
      <c r="K12" s="55"/>
      <c r="L12" s="92"/>
      <c r="M12" s="70"/>
      <c r="N12" s="70"/>
    </row>
    <row r="13" ht="18" customHeight="1" spans="1:15">
      <c r="A13" s="57" t="s">
        <v>29</v>
      </c>
      <c r="B13" s="70"/>
      <c r="C13" s="55"/>
      <c r="D13" s="55"/>
      <c r="E13" s="55"/>
      <c r="F13" s="55"/>
      <c r="G13" s="55"/>
      <c r="H13" s="55"/>
      <c r="I13" s="55"/>
      <c r="J13" s="55"/>
      <c r="K13" s="93" t="s">
        <v>37</v>
      </c>
      <c r="L13" s="60" t="s">
        <v>38</v>
      </c>
      <c r="M13" s="60" t="s">
        <v>39</v>
      </c>
      <c r="N13" s="60" t="s">
        <v>40</v>
      </c>
      <c r="O13" s="16" t="s">
        <v>41</v>
      </c>
    </row>
    <row r="14" s="1" customFormat="1" ht="18" customHeight="1" spans="1:15">
      <c r="A14" s="58" t="s">
        <v>30</v>
      </c>
      <c r="B14" s="59" t="s">
        <v>31</v>
      </c>
      <c r="C14" s="59" t="s">
        <v>32</v>
      </c>
      <c r="D14" s="59" t="s">
        <v>33</v>
      </c>
      <c r="E14" s="59" t="s">
        <v>19</v>
      </c>
      <c r="F14" s="59" t="s">
        <v>34</v>
      </c>
      <c r="G14" s="59" t="s">
        <v>17</v>
      </c>
      <c r="H14" s="59" t="s">
        <v>35</v>
      </c>
      <c r="I14" s="59" t="s">
        <v>36</v>
      </c>
      <c r="J14" s="59" t="s">
        <v>23</v>
      </c>
      <c r="K14" s="94"/>
      <c r="L14" s="95"/>
      <c r="M14" s="74"/>
      <c r="N14" s="74"/>
      <c r="O14" s="42"/>
    </row>
    <row r="15" s="1" customFormat="1" ht="18" customHeight="1" spans="1:15">
      <c r="A15" s="71" t="s">
        <v>42</v>
      </c>
      <c r="B15" s="72">
        <f t="shared" ref="B15:B29" si="4">ROUND(G15/(1+E15),2)</f>
        <v>284403.67</v>
      </c>
      <c r="C15" s="73">
        <v>1</v>
      </c>
      <c r="D15" s="74" t="s">
        <v>43</v>
      </c>
      <c r="E15" s="75">
        <v>0.09</v>
      </c>
      <c r="F15" s="72">
        <f t="shared" ref="F15:F20" si="5">ROUND(G15/(1+E15)*E15,2)</f>
        <v>25596.33</v>
      </c>
      <c r="G15" s="76">
        <v>310000</v>
      </c>
      <c r="H15" s="64"/>
      <c r="I15" s="51">
        <v>180000</v>
      </c>
      <c r="J15" s="86"/>
      <c r="K15" s="94" t="s">
        <v>44</v>
      </c>
      <c r="L15" s="95"/>
      <c r="M15" s="74"/>
      <c r="N15" s="74"/>
      <c r="O15" s="42"/>
    </row>
    <row r="16" s="1" customFormat="1" ht="18" customHeight="1" spans="1:15">
      <c r="A16" s="71" t="s">
        <v>42</v>
      </c>
      <c r="B16" s="72">
        <f t="shared" si="4"/>
        <v>3715.6</v>
      </c>
      <c r="C16" s="73">
        <v>1</v>
      </c>
      <c r="D16" s="74" t="s">
        <v>46</v>
      </c>
      <c r="E16" s="75">
        <v>0.09</v>
      </c>
      <c r="F16" s="72">
        <f t="shared" si="5"/>
        <v>334.4</v>
      </c>
      <c r="G16" s="63">
        <v>4050</v>
      </c>
      <c r="H16" s="77"/>
      <c r="I16" s="51"/>
      <c r="J16" s="86"/>
      <c r="K16" s="94" t="s">
        <v>47</v>
      </c>
      <c r="L16" s="95"/>
      <c r="M16" s="74"/>
      <c r="N16" s="74"/>
      <c r="O16" s="42"/>
    </row>
    <row r="17" s="1" customFormat="1" ht="18" customHeight="1" spans="1:15">
      <c r="A17" s="71" t="s">
        <v>42</v>
      </c>
      <c r="B17" s="72">
        <f t="shared" si="4"/>
        <v>295.28</v>
      </c>
      <c r="C17" s="73">
        <v>1</v>
      </c>
      <c r="D17" s="74" t="s">
        <v>46</v>
      </c>
      <c r="E17" s="75">
        <v>0.06</v>
      </c>
      <c r="F17" s="72">
        <f t="shared" si="5"/>
        <v>17.72</v>
      </c>
      <c r="G17" s="63">
        <v>313</v>
      </c>
      <c r="H17" s="64"/>
      <c r="I17" s="51"/>
      <c r="J17" s="86"/>
      <c r="K17" s="94" t="s">
        <v>48</v>
      </c>
      <c r="L17" s="95"/>
      <c r="M17" s="74"/>
      <c r="N17" s="74"/>
      <c r="O17" s="42"/>
    </row>
    <row r="18" s="1" customFormat="1" ht="18" customHeight="1" spans="1:15">
      <c r="A18" s="71" t="s">
        <v>42</v>
      </c>
      <c r="B18" s="72">
        <f t="shared" si="4"/>
        <v>1237.17</v>
      </c>
      <c r="C18" s="73">
        <v>1</v>
      </c>
      <c r="D18" s="74" t="s">
        <v>46</v>
      </c>
      <c r="E18" s="75">
        <v>0.13</v>
      </c>
      <c r="F18" s="72">
        <f t="shared" si="5"/>
        <v>160.83</v>
      </c>
      <c r="G18" s="63">
        <v>1398</v>
      </c>
      <c r="H18" s="64"/>
      <c r="I18" s="51"/>
      <c r="J18" s="86"/>
      <c r="K18" s="94" t="s">
        <v>49</v>
      </c>
      <c r="L18" s="95"/>
      <c r="M18" s="74"/>
      <c r="N18" s="74"/>
      <c r="O18" s="42"/>
    </row>
    <row r="19" s="1" customFormat="1" ht="18" customHeight="1" spans="1:15">
      <c r="A19" s="71"/>
      <c r="B19" s="72">
        <f t="shared" si="4"/>
        <v>0</v>
      </c>
      <c r="C19" s="73"/>
      <c r="D19" s="74" t="s">
        <v>43</v>
      </c>
      <c r="E19" s="75">
        <v>0</v>
      </c>
      <c r="F19" s="72">
        <f t="shared" si="5"/>
        <v>0</v>
      </c>
      <c r="G19" s="63"/>
      <c r="H19" s="64"/>
      <c r="I19" s="51">
        <v>5641.49</v>
      </c>
      <c r="J19" s="86" t="s">
        <v>50</v>
      </c>
      <c r="K19" s="94" t="s">
        <v>51</v>
      </c>
      <c r="L19" s="95"/>
      <c r="M19" s="74"/>
      <c r="N19" s="74"/>
      <c r="O19" s="42"/>
    </row>
    <row r="20" s="1" customFormat="1" ht="18" customHeight="1" spans="1:15">
      <c r="A20" s="71" t="s">
        <v>52</v>
      </c>
      <c r="B20" s="72">
        <f t="shared" si="4"/>
        <v>100000</v>
      </c>
      <c r="C20" s="73">
        <v>1</v>
      </c>
      <c r="D20" s="74" t="s">
        <v>46</v>
      </c>
      <c r="E20" s="75">
        <v>0</v>
      </c>
      <c r="F20" s="72">
        <f t="shared" si="5"/>
        <v>0</v>
      </c>
      <c r="G20" s="63">
        <v>100000</v>
      </c>
      <c r="H20" s="64"/>
      <c r="I20" s="51"/>
      <c r="J20" s="86"/>
      <c r="K20" s="94" t="s">
        <v>53</v>
      </c>
      <c r="L20" s="95" t="s">
        <v>54</v>
      </c>
      <c r="M20" s="74"/>
      <c r="N20" s="74"/>
      <c r="O20" s="42"/>
    </row>
    <row r="21" s="1" customFormat="1" ht="18" customHeight="1" spans="1:15">
      <c r="A21" s="71">
        <v>43922</v>
      </c>
      <c r="B21" s="72">
        <f t="shared" si="4"/>
        <v>2576.42</v>
      </c>
      <c r="C21" s="73">
        <v>1</v>
      </c>
      <c r="D21" s="74" t="s">
        <v>43</v>
      </c>
      <c r="E21" s="78">
        <v>0.06</v>
      </c>
      <c r="F21" s="72">
        <v>152.47</v>
      </c>
      <c r="G21" s="63">
        <v>2731.01</v>
      </c>
      <c r="H21" s="64"/>
      <c r="I21" s="51"/>
      <c r="J21" s="86"/>
      <c r="K21" s="94" t="s">
        <v>55</v>
      </c>
      <c r="L21" s="95" t="s">
        <v>56</v>
      </c>
      <c r="M21" s="74"/>
      <c r="N21" s="74"/>
      <c r="O21" s="42"/>
    </row>
    <row r="22" s="1" customFormat="1" ht="18" customHeight="1" spans="1:15">
      <c r="A22" s="71">
        <v>43922</v>
      </c>
      <c r="B22" s="72">
        <f t="shared" si="4"/>
        <v>10000</v>
      </c>
      <c r="C22" s="73"/>
      <c r="D22" s="74" t="s">
        <v>57</v>
      </c>
      <c r="E22" s="75"/>
      <c r="F22" s="72">
        <f>ROUND(G22/(1+E22)*E22,2)</f>
        <v>0</v>
      </c>
      <c r="G22" s="63">
        <v>10000</v>
      </c>
      <c r="H22" s="64"/>
      <c r="I22" s="51"/>
      <c r="J22" s="86"/>
      <c r="K22" s="94" t="s">
        <v>58</v>
      </c>
      <c r="L22" s="95" t="s">
        <v>54</v>
      </c>
      <c r="M22" s="74"/>
      <c r="N22" s="74"/>
      <c r="O22" s="42"/>
    </row>
    <row r="23" s="1" customFormat="1" ht="18" customHeight="1" spans="1:15">
      <c r="A23" s="71">
        <v>43952</v>
      </c>
      <c r="B23" s="72">
        <f t="shared" si="4"/>
        <v>244572.48</v>
      </c>
      <c r="C23" s="73"/>
      <c r="D23" s="74" t="s">
        <v>43</v>
      </c>
      <c r="E23" s="78">
        <v>0.09</v>
      </c>
      <c r="F23" s="72">
        <f>ROUND(G23/(1+E23)*E23,2)</f>
        <v>22011.52</v>
      </c>
      <c r="G23" s="63">
        <f>66584+100000+100000</f>
        <v>266584</v>
      </c>
      <c r="H23" s="64"/>
      <c r="I23" s="51"/>
      <c r="J23" s="86"/>
      <c r="K23" s="94" t="s">
        <v>44</v>
      </c>
      <c r="L23" s="95" t="s">
        <v>59</v>
      </c>
      <c r="M23" s="74" t="s">
        <v>45</v>
      </c>
      <c r="N23" s="74"/>
      <c r="O23" s="42"/>
    </row>
    <row r="24" s="1" customFormat="1" ht="18" customHeight="1" spans="1:15">
      <c r="A24" s="71"/>
      <c r="B24" s="72"/>
      <c r="C24" s="73"/>
      <c r="D24" s="74"/>
      <c r="E24" s="75"/>
      <c r="F24" s="72"/>
      <c r="G24" s="63"/>
      <c r="H24" s="64"/>
      <c r="I24" s="51"/>
      <c r="J24" s="86"/>
      <c r="K24" s="94"/>
      <c r="L24" s="95"/>
      <c r="M24" s="74"/>
      <c r="N24" s="74"/>
      <c r="O24" s="42"/>
    </row>
    <row r="25" s="1" customFormat="1" ht="18" customHeight="1" spans="1:15">
      <c r="A25" s="71"/>
      <c r="B25" s="72"/>
      <c r="C25" s="73"/>
      <c r="D25" s="74"/>
      <c r="E25" s="75"/>
      <c r="F25" s="72"/>
      <c r="G25" s="63"/>
      <c r="H25" s="64"/>
      <c r="I25" s="51"/>
      <c r="J25" s="86"/>
      <c r="K25" s="94"/>
      <c r="L25" s="95"/>
      <c r="M25" s="74"/>
      <c r="N25" s="74"/>
      <c r="O25" s="42"/>
    </row>
    <row r="26" s="1" customFormat="1" ht="18" customHeight="1" spans="1:15">
      <c r="A26" s="71"/>
      <c r="B26" s="72"/>
      <c r="C26" s="73"/>
      <c r="D26" s="74"/>
      <c r="E26" s="75"/>
      <c r="F26" s="72"/>
      <c r="G26" s="63"/>
      <c r="H26" s="64"/>
      <c r="I26" s="51"/>
      <c r="J26" s="86"/>
      <c r="K26" s="94"/>
      <c r="L26" s="95"/>
      <c r="M26" s="74"/>
      <c r="N26" s="74"/>
      <c r="O26" s="42"/>
    </row>
    <row r="27" s="1" customFormat="1" ht="18" customHeight="1" spans="1:15">
      <c r="A27" s="71"/>
      <c r="B27" s="72">
        <f t="shared" ref="B27:B33" si="6">ROUND(G27/(1+E27),2)</f>
        <v>0</v>
      </c>
      <c r="C27" s="73"/>
      <c r="D27" s="74" t="s">
        <v>43</v>
      </c>
      <c r="E27" s="75"/>
      <c r="F27" s="72">
        <f t="shared" ref="F27:F33" si="7">ROUND(G27/(1+E27)*E27,2)</f>
        <v>0</v>
      </c>
      <c r="G27" s="79"/>
      <c r="H27" s="64"/>
      <c r="I27" s="51"/>
      <c r="J27" s="86"/>
      <c r="K27" s="94"/>
      <c r="L27" s="95"/>
      <c r="M27" s="74"/>
      <c r="N27" s="74"/>
      <c r="O27" s="42"/>
    </row>
    <row r="28" s="1" customFormat="1" ht="18" customHeight="1" spans="1:15">
      <c r="A28" s="71"/>
      <c r="B28" s="72">
        <f t="shared" si="6"/>
        <v>8535.57</v>
      </c>
      <c r="C28" s="73"/>
      <c r="D28" s="74" t="s">
        <v>43</v>
      </c>
      <c r="E28" s="75"/>
      <c r="F28" s="72">
        <f t="shared" si="7"/>
        <v>0</v>
      </c>
      <c r="G28" s="79">
        <v>8535.57</v>
      </c>
      <c r="H28" s="64"/>
      <c r="I28" s="51">
        <f>G7/1.09*2.2927/100</f>
        <v>8535.57486238532</v>
      </c>
      <c r="J28" s="86" t="s">
        <v>114</v>
      </c>
      <c r="K28" s="94"/>
      <c r="L28" s="95"/>
      <c r="M28" s="74"/>
      <c r="N28" s="74"/>
      <c r="O28" s="42"/>
    </row>
    <row r="29" s="1" customFormat="1" ht="18" customHeight="1" spans="1:15">
      <c r="A29" s="71"/>
      <c r="B29" s="72">
        <f t="shared" si="6"/>
        <v>3722.94</v>
      </c>
      <c r="C29" s="73"/>
      <c r="D29" s="74" t="s">
        <v>43</v>
      </c>
      <c r="E29" s="75"/>
      <c r="F29" s="72">
        <f t="shared" si="7"/>
        <v>0</v>
      </c>
      <c r="G29" s="79">
        <v>3722.93577981651</v>
      </c>
      <c r="H29" s="64"/>
      <c r="I29" s="51">
        <f>B7*0.01</f>
        <v>3722.93577981651</v>
      </c>
      <c r="J29" s="86" t="s">
        <v>115</v>
      </c>
      <c r="K29" s="94"/>
      <c r="L29" s="95"/>
      <c r="M29" s="74"/>
      <c r="N29" s="74"/>
      <c r="O29" s="42"/>
    </row>
    <row r="30" s="1" customFormat="1" ht="18" customHeight="1" spans="1:15">
      <c r="A30" s="71"/>
      <c r="B30" s="72">
        <f t="shared" si="6"/>
        <v>2000</v>
      </c>
      <c r="C30" s="73"/>
      <c r="D30" s="74" t="s">
        <v>43</v>
      </c>
      <c r="E30" s="75"/>
      <c r="F30" s="72">
        <f t="shared" si="7"/>
        <v>0</v>
      </c>
      <c r="G30" s="79">
        <v>2000</v>
      </c>
      <c r="H30" s="64"/>
      <c r="I30" s="51">
        <f>I7*0.01</f>
        <v>2000</v>
      </c>
      <c r="J30" s="86" t="s">
        <v>116</v>
      </c>
      <c r="K30" s="94"/>
      <c r="L30" s="95"/>
      <c r="M30" s="74"/>
      <c r="N30" s="74"/>
      <c r="O30" s="42"/>
    </row>
    <row r="31" s="1" customFormat="1" ht="18" customHeight="1" spans="1:15">
      <c r="A31" s="71"/>
      <c r="B31" s="72">
        <f t="shared" si="6"/>
        <v>100</v>
      </c>
      <c r="C31" s="73"/>
      <c r="D31" s="74" t="s">
        <v>43</v>
      </c>
      <c r="E31" s="75"/>
      <c r="F31" s="72">
        <f t="shared" si="7"/>
        <v>0</v>
      </c>
      <c r="G31" s="79">
        <v>100</v>
      </c>
      <c r="H31" s="64"/>
      <c r="I31" s="51">
        <v>100</v>
      </c>
      <c r="J31" s="86" t="s">
        <v>94</v>
      </c>
      <c r="K31" s="94"/>
      <c r="L31" s="95"/>
      <c r="M31" s="74"/>
      <c r="N31" s="74"/>
      <c r="O31" s="42"/>
    </row>
    <row r="32" s="1" customFormat="1" ht="18" customHeight="1" spans="1:15">
      <c r="A32" s="71"/>
      <c r="B32" s="72">
        <f t="shared" si="6"/>
        <v>0</v>
      </c>
      <c r="C32" s="73"/>
      <c r="D32" s="74" t="s">
        <v>43</v>
      </c>
      <c r="E32" s="75"/>
      <c r="F32" s="72">
        <f t="shared" si="7"/>
        <v>0</v>
      </c>
      <c r="G32" s="79"/>
      <c r="H32" s="64"/>
      <c r="I32" s="51"/>
      <c r="J32" s="86"/>
      <c r="K32" s="94"/>
      <c r="L32" s="95"/>
      <c r="M32" s="74"/>
      <c r="N32" s="74"/>
      <c r="O32" s="42"/>
    </row>
    <row r="33" ht="18" customHeight="1" spans="1:15">
      <c r="A33" s="71"/>
      <c r="B33" s="72">
        <f t="shared" si="6"/>
        <v>0</v>
      </c>
      <c r="C33" s="73"/>
      <c r="D33" s="74" t="s">
        <v>43</v>
      </c>
      <c r="E33" s="75"/>
      <c r="F33" s="72">
        <f t="shared" si="7"/>
        <v>0</v>
      </c>
      <c r="G33" s="63"/>
      <c r="H33" s="64"/>
      <c r="I33" s="51"/>
      <c r="J33" s="86"/>
      <c r="K33" s="96"/>
      <c r="L33" s="69"/>
      <c r="M33" s="86"/>
      <c r="N33" s="86"/>
      <c r="O33" s="24"/>
    </row>
    <row r="34" ht="18" customHeight="1" spans="1:14">
      <c r="A34" s="65" t="s">
        <v>28</v>
      </c>
      <c r="B34" s="66">
        <f>SUM(B15:B33)</f>
        <v>661159.13</v>
      </c>
      <c r="C34" s="67"/>
      <c r="D34" s="80"/>
      <c r="E34" s="80"/>
      <c r="F34" s="68">
        <f>SUM(F15:F33)</f>
        <v>48273.27</v>
      </c>
      <c r="G34" s="67">
        <f>SUM(G15:G33)</f>
        <v>709434.515779816</v>
      </c>
      <c r="H34" s="69"/>
      <c r="I34" s="51">
        <f>SUM(I15:I33)</f>
        <v>200000.000642202</v>
      </c>
      <c r="J34" s="69"/>
      <c r="K34" s="97"/>
      <c r="L34" s="70"/>
      <c r="M34" s="98"/>
      <c r="N34" s="98"/>
    </row>
    <row r="35" ht="18" customHeight="1" spans="1:14">
      <c r="A35" s="81"/>
      <c r="B35" s="82">
        <f>B12-B34</f>
        <v>28458.3929357799</v>
      </c>
      <c r="C35" s="82"/>
      <c r="D35" s="83"/>
      <c r="E35" s="83"/>
      <c r="F35" s="82">
        <f>F12-F34</f>
        <v>-0.0433944954129402</v>
      </c>
      <c r="G35" s="82"/>
      <c r="H35" s="70"/>
      <c r="I35" s="55">
        <f>I12-I34</f>
        <v>319999.999357798</v>
      </c>
      <c r="J35" s="70"/>
      <c r="K35" s="70">
        <f>F35/0.09*1.09</f>
        <v>-0.52555555555672</v>
      </c>
      <c r="L35" s="70"/>
      <c r="M35" s="70"/>
      <c r="N35" s="70"/>
    </row>
    <row r="36" ht="18" customHeight="1" spans="1:14">
      <c r="A36" s="57" t="s">
        <v>96</v>
      </c>
      <c r="B36" s="55"/>
      <c r="C36" s="84"/>
      <c r="D36" s="55"/>
      <c r="E36" s="55"/>
      <c r="F36" s="70"/>
      <c r="G36" s="70"/>
      <c r="H36" s="55"/>
      <c r="I36" s="55"/>
      <c r="J36" s="92"/>
      <c r="K36" s="70"/>
      <c r="L36" s="70"/>
      <c r="M36" s="70"/>
      <c r="N36" s="70"/>
    </row>
    <row r="37" ht="18" customHeight="1" spans="1:14">
      <c r="A37" s="58" t="s">
        <v>97</v>
      </c>
      <c r="B37" s="59" t="s">
        <v>98</v>
      </c>
      <c r="C37" s="69"/>
      <c r="D37" s="60" t="s">
        <v>97</v>
      </c>
      <c r="E37" s="59" t="s">
        <v>19</v>
      </c>
      <c r="F37" s="59" t="s">
        <v>98</v>
      </c>
      <c r="G37" s="59" t="s">
        <v>117</v>
      </c>
      <c r="H37" s="55"/>
      <c r="I37" s="55"/>
      <c r="J37" s="92"/>
      <c r="K37" s="70"/>
      <c r="L37" s="70"/>
      <c r="M37" s="70"/>
      <c r="N37" s="70"/>
    </row>
    <row r="38" ht="18" customHeight="1" spans="1:14">
      <c r="A38" s="49" t="s">
        <v>101</v>
      </c>
      <c r="B38" s="72">
        <f>(B12-B34)*0.25</f>
        <v>7114.59823394497</v>
      </c>
      <c r="C38" s="69"/>
      <c r="D38" s="85" t="s">
        <v>102</v>
      </c>
      <c r="E38" s="86" t="s">
        <v>103</v>
      </c>
      <c r="F38" s="87">
        <f>F12-F34</f>
        <v>-0.0433944954129402</v>
      </c>
      <c r="G38" s="87"/>
      <c r="H38" s="55"/>
      <c r="I38" s="55"/>
      <c r="J38" s="92"/>
      <c r="K38" s="70"/>
      <c r="L38" s="70"/>
      <c r="M38" s="70"/>
      <c r="N38" s="70"/>
    </row>
    <row r="39" ht="18" customHeight="1" spans="1:14">
      <c r="A39" s="49" t="s">
        <v>104</v>
      </c>
      <c r="B39" s="51">
        <f>G12*0.0003</f>
        <v>225.50493</v>
      </c>
      <c r="C39" s="69"/>
      <c r="D39" s="88" t="s">
        <v>105</v>
      </c>
      <c r="E39" s="52">
        <v>0.05</v>
      </c>
      <c r="F39" s="51">
        <f>F38*E39</f>
        <v>-0.00216972477064701</v>
      </c>
      <c r="G39" s="51"/>
      <c r="H39" s="55"/>
      <c r="I39" s="55"/>
      <c r="J39" s="92"/>
      <c r="K39" s="70"/>
      <c r="L39" s="70"/>
      <c r="M39" s="70"/>
      <c r="N39" s="70"/>
    </row>
    <row r="40" ht="18" customHeight="1" spans="1:14">
      <c r="A40" s="49" t="s">
        <v>106</v>
      </c>
      <c r="B40" s="51">
        <f>B12*0.0006</f>
        <v>413.770513761468</v>
      </c>
      <c r="C40" s="69"/>
      <c r="D40" s="88" t="s">
        <v>107</v>
      </c>
      <c r="E40" s="52">
        <v>0.03</v>
      </c>
      <c r="F40" s="51">
        <f>F38*E40</f>
        <v>-0.0013018348623882</v>
      </c>
      <c r="G40" s="51"/>
      <c r="H40" s="55"/>
      <c r="I40" s="55"/>
      <c r="J40" s="92"/>
      <c r="K40" s="70"/>
      <c r="L40" s="70"/>
      <c r="M40" s="70"/>
      <c r="N40" s="70"/>
    </row>
    <row r="41" ht="18" customHeight="1" spans="1:14">
      <c r="A41" s="49"/>
      <c r="B41" s="69"/>
      <c r="C41" s="69"/>
      <c r="D41" s="88" t="s">
        <v>108</v>
      </c>
      <c r="E41" s="52">
        <v>0.02</v>
      </c>
      <c r="F41" s="51">
        <f>F38*E41</f>
        <v>-0.000867889908258803</v>
      </c>
      <c r="G41" s="51"/>
      <c r="H41" s="55"/>
      <c r="I41" s="55"/>
      <c r="J41" s="92"/>
      <c r="K41" s="70"/>
      <c r="L41" s="70"/>
      <c r="M41" s="70"/>
      <c r="N41" s="70"/>
    </row>
    <row r="42" spans="1:14">
      <c r="A42" s="65" t="s">
        <v>109</v>
      </c>
      <c r="B42" s="66">
        <f>SUM(B38:B41)</f>
        <v>7753.87367770644</v>
      </c>
      <c r="C42" s="69"/>
      <c r="D42" s="89" t="s">
        <v>109</v>
      </c>
      <c r="E42" s="89"/>
      <c r="F42" s="68">
        <f>SUM(F38:F41)</f>
        <v>-0.0477339449542342</v>
      </c>
      <c r="G42" s="68"/>
      <c r="H42" s="55"/>
      <c r="I42" s="55"/>
      <c r="J42" s="92"/>
      <c r="K42" s="70"/>
      <c r="L42" s="70"/>
      <c r="M42" s="70"/>
      <c r="N42" s="70"/>
    </row>
    <row r="43" spans="1:14">
      <c r="A43" s="57"/>
      <c r="B43" s="55"/>
      <c r="C43" s="84"/>
      <c r="D43" s="55"/>
      <c r="E43" s="55"/>
      <c r="F43" s="70"/>
      <c r="G43" s="70"/>
      <c r="H43" s="55"/>
      <c r="I43" s="55"/>
      <c r="J43" s="92"/>
      <c r="K43" s="70"/>
      <c r="L43" s="70"/>
      <c r="M43" s="70"/>
      <c r="N43" s="70"/>
    </row>
    <row r="44" spans="1:14">
      <c r="A44" s="57"/>
      <c r="B44" s="55"/>
      <c r="C44" s="84"/>
      <c r="D44" s="55"/>
      <c r="E44" s="55"/>
      <c r="F44" s="70"/>
      <c r="G44" s="70"/>
      <c r="H44" s="55"/>
      <c r="I44" s="55"/>
      <c r="J44" s="92"/>
      <c r="K44" s="70"/>
      <c r="L44" s="70"/>
      <c r="M44" s="70"/>
      <c r="N44" s="70"/>
    </row>
    <row r="45" spans="1:14">
      <c r="A45" s="57"/>
      <c r="B45" s="55"/>
      <c r="C45" s="84"/>
      <c r="D45" s="55"/>
      <c r="E45" s="55"/>
      <c r="F45" s="70"/>
      <c r="G45" s="70"/>
      <c r="H45" s="55"/>
      <c r="I45" s="55"/>
      <c r="J45" s="92"/>
      <c r="K45" s="70"/>
      <c r="L45" s="70"/>
      <c r="M45" s="70"/>
      <c r="N45" s="70"/>
    </row>
    <row r="46" spans="3:7">
      <c r="C46" s="2"/>
      <c r="F46" s="5"/>
      <c r="G46" s="5"/>
    </row>
    <row r="47" spans="3:7">
      <c r="C47" s="2"/>
      <c r="F47" s="5"/>
      <c r="G47" s="5"/>
    </row>
    <row r="48" spans="3:7">
      <c r="C48" s="2"/>
      <c r="F48" s="5"/>
      <c r="G48" s="5"/>
    </row>
    <row r="49" spans="3:7">
      <c r="C49" s="2"/>
      <c r="F49" s="5"/>
      <c r="G49" s="5"/>
    </row>
    <row r="50" spans="3:7">
      <c r="C50" s="2"/>
      <c r="F50" s="5"/>
      <c r="G50" s="5"/>
    </row>
    <row r="51" spans="3:7">
      <c r="C51" s="2"/>
      <c r="F51" s="5"/>
      <c r="G51" s="5"/>
    </row>
    <row r="52" spans="3:7">
      <c r="C52" s="2"/>
      <c r="F52" s="5"/>
      <c r="G52" s="5"/>
    </row>
    <row r="53" spans="3:7">
      <c r="C53" s="2"/>
      <c r="F53" s="5"/>
      <c r="G53" s="5"/>
    </row>
    <row r="54" spans="3:7">
      <c r="C54" s="2"/>
      <c r="F54" s="5"/>
      <c r="G54" s="5"/>
    </row>
    <row r="55" spans="3:7">
      <c r="C55" s="2"/>
      <c r="F55" s="5"/>
      <c r="G55" s="5"/>
    </row>
    <row r="56" spans="3:7">
      <c r="C56" s="2"/>
      <c r="F56" s="5"/>
      <c r="G56" s="5"/>
    </row>
    <row r="57" spans="3:7">
      <c r="C57" s="2"/>
      <c r="F57" s="5"/>
      <c r="G57" s="5"/>
    </row>
    <row r="58" spans="3:7">
      <c r="C58" s="2"/>
      <c r="F58" s="5"/>
      <c r="G58" s="5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opLeftCell="A16" workbookViewId="0">
      <selection activeCell="I23" sqref="I23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9.625" style="3" customWidth="1"/>
    <col min="9" max="9" width="13.875" style="3" customWidth="1"/>
    <col min="10" max="10" width="7.75" style="4" customWidth="1"/>
    <col min="11" max="11" width="31.5" style="5" customWidth="1"/>
    <col min="12" max="12" width="17.25" style="5" customWidth="1"/>
    <col min="13" max="13" width="6" style="5" customWidth="1"/>
    <col min="14" max="14" width="5.625" style="5" customWidth="1"/>
    <col min="15" max="16384" width="9" style="5"/>
  </cols>
  <sheetData>
    <row r="1" ht="21.95" customHeight="1" spans="1:12">
      <c r="A1" s="6" t="s">
        <v>111</v>
      </c>
      <c r="B1" s="7"/>
      <c r="C1" s="7"/>
      <c r="D1" s="7"/>
      <c r="E1" s="7"/>
      <c r="F1" s="7"/>
      <c r="G1" s="7"/>
      <c r="H1" s="7"/>
      <c r="I1" s="7"/>
      <c r="J1" s="7"/>
      <c r="K1" s="14"/>
      <c r="L1" s="14"/>
    </row>
    <row r="2" ht="18" customHeight="1" spans="1:12">
      <c r="A2" s="8" t="s">
        <v>1</v>
      </c>
      <c r="B2" s="9" t="s">
        <v>2</v>
      </c>
      <c r="C2" s="10" t="s">
        <v>3</v>
      </c>
      <c r="D2" s="10">
        <v>1698062.5</v>
      </c>
      <c r="E2" s="11" t="s">
        <v>4</v>
      </c>
      <c r="F2" s="10" t="s">
        <v>112</v>
      </c>
      <c r="G2" s="11" t="s">
        <v>6</v>
      </c>
      <c r="H2" s="12" t="s">
        <v>113</v>
      </c>
      <c r="I2" s="38"/>
      <c r="J2" s="39"/>
      <c r="K2" s="14"/>
      <c r="L2" s="14"/>
    </row>
    <row r="3" ht="18" customHeight="1" spans="1:12">
      <c r="A3" s="8" t="s">
        <v>9</v>
      </c>
      <c r="B3" s="13"/>
      <c r="C3" s="10" t="s">
        <v>10</v>
      </c>
      <c r="D3" s="10"/>
      <c r="H3" s="14"/>
      <c r="I3" s="14"/>
      <c r="J3" s="14"/>
      <c r="K3" s="14"/>
      <c r="L3" s="14"/>
    </row>
    <row r="4" ht="18" customHeight="1" spans="1:12">
      <c r="A4" s="2" t="s">
        <v>12</v>
      </c>
      <c r="H4" s="14"/>
      <c r="I4" s="14"/>
      <c r="J4" s="14"/>
      <c r="K4" s="14"/>
      <c r="L4" s="14"/>
    </row>
    <row r="5" ht="18" customHeight="1" spans="1:10">
      <c r="A5" s="15" t="s">
        <v>13</v>
      </c>
      <c r="B5" s="15" t="s">
        <v>14</v>
      </c>
      <c r="C5" s="15" t="s">
        <v>15</v>
      </c>
      <c r="D5" s="15"/>
      <c r="E5" s="15" t="s">
        <v>16</v>
      </c>
      <c r="F5" s="15"/>
      <c r="G5" s="15" t="s">
        <v>17</v>
      </c>
      <c r="H5" s="16" t="s">
        <v>18</v>
      </c>
      <c r="I5" s="16"/>
      <c r="J5" s="16"/>
    </row>
    <row r="6" ht="18" customHeight="1" spans="1:10">
      <c r="A6" s="15"/>
      <c r="B6" s="15"/>
      <c r="C6" s="15" t="s">
        <v>19</v>
      </c>
      <c r="D6" s="15" t="s">
        <v>20</v>
      </c>
      <c r="E6" s="15" t="s">
        <v>19</v>
      </c>
      <c r="F6" s="15" t="s">
        <v>20</v>
      </c>
      <c r="G6" s="15"/>
      <c r="H6" s="16" t="s">
        <v>21</v>
      </c>
      <c r="I6" s="16" t="s">
        <v>22</v>
      </c>
      <c r="J6" s="16" t="s">
        <v>23</v>
      </c>
    </row>
    <row r="7" ht="18" customHeight="1" spans="1:10">
      <c r="A7" s="17" t="s">
        <v>24</v>
      </c>
      <c r="B7" s="10">
        <f t="shared" ref="B7:B8" si="0">G7/(1+C7+E7)</f>
        <v>372293.577981651</v>
      </c>
      <c r="C7" s="18">
        <v>0.02</v>
      </c>
      <c r="D7" s="10">
        <f t="shared" ref="D7:D8" si="1">G7/(1+E7+C7)*C7</f>
        <v>7445.87155963303</v>
      </c>
      <c r="E7" s="18">
        <v>0.07</v>
      </c>
      <c r="F7" s="10">
        <f t="shared" ref="F7:F8" si="2">G7/(1+C7+E7)*E7</f>
        <v>26060.5504587156</v>
      </c>
      <c r="G7" s="19">
        <v>405800</v>
      </c>
      <c r="H7" s="17" t="s">
        <v>25</v>
      </c>
      <c r="I7" s="10">
        <v>200000</v>
      </c>
      <c r="J7" s="35" t="s">
        <v>26</v>
      </c>
    </row>
    <row r="8" ht="18" customHeight="1" spans="1:10">
      <c r="A8" s="17"/>
      <c r="B8" s="10">
        <f t="shared" si="0"/>
        <v>0</v>
      </c>
      <c r="C8" s="18">
        <v>0.02</v>
      </c>
      <c r="D8" s="10">
        <f t="shared" si="1"/>
        <v>0</v>
      </c>
      <c r="E8" s="18">
        <v>0.07</v>
      </c>
      <c r="F8" s="10">
        <f t="shared" si="2"/>
        <v>0</v>
      </c>
      <c r="G8" s="19"/>
      <c r="H8" s="17"/>
      <c r="I8" s="10"/>
      <c r="J8" s="35"/>
    </row>
    <row r="9" ht="18" customHeight="1" spans="1:11">
      <c r="A9" s="17"/>
      <c r="B9" s="10">
        <f t="shared" ref="B9:B11" si="3">G9/(1+C9+E9)</f>
        <v>0</v>
      </c>
      <c r="C9" s="18"/>
      <c r="D9" s="10">
        <f t="shared" ref="D9:D11" si="4">G9/(1+E9+C9)*C9</f>
        <v>0</v>
      </c>
      <c r="E9" s="18">
        <v>0.08</v>
      </c>
      <c r="F9" s="10">
        <f t="shared" ref="F9:F11" si="5">G9/(1+C9+E9)*E9</f>
        <v>0</v>
      </c>
      <c r="G9" s="19"/>
      <c r="H9" s="17"/>
      <c r="I9" s="10"/>
      <c r="J9" s="35"/>
      <c r="K9" s="5">
        <f>(G7+G8)/1.09*2.2927/100</f>
        <v>8535.57486238532</v>
      </c>
    </row>
    <row r="10" ht="18" customHeight="1" spans="1:10">
      <c r="A10" s="17"/>
      <c r="B10" s="10">
        <f t="shared" si="3"/>
        <v>0</v>
      </c>
      <c r="C10" s="18"/>
      <c r="D10" s="10">
        <f t="shared" si="4"/>
        <v>0</v>
      </c>
      <c r="E10" s="18">
        <v>0.08</v>
      </c>
      <c r="F10" s="10">
        <f t="shared" si="5"/>
        <v>0</v>
      </c>
      <c r="G10" s="19"/>
      <c r="H10" s="17"/>
      <c r="I10" s="10"/>
      <c r="J10" s="35"/>
    </row>
    <row r="11" ht="18" customHeight="1" spans="1:10">
      <c r="A11" s="17"/>
      <c r="B11" s="10">
        <f t="shared" si="3"/>
        <v>0</v>
      </c>
      <c r="C11" s="18"/>
      <c r="D11" s="10">
        <f t="shared" si="4"/>
        <v>0</v>
      </c>
      <c r="E11" s="18">
        <v>0.08</v>
      </c>
      <c r="F11" s="10">
        <f t="shared" si="5"/>
        <v>0</v>
      </c>
      <c r="G11" s="19"/>
      <c r="H11" s="17"/>
      <c r="I11" s="10"/>
      <c r="J11" s="35"/>
    </row>
    <row r="12" ht="18" customHeight="1" spans="1:12">
      <c r="A12" s="20" t="s">
        <v>28</v>
      </c>
      <c r="B12" s="21">
        <f>SUM(B7:B11)</f>
        <v>372293.577981651</v>
      </c>
      <c r="C12" s="22"/>
      <c r="D12" s="22">
        <f>SUM(D7:D11)</f>
        <v>7445.87155963303</v>
      </c>
      <c r="E12" s="22"/>
      <c r="F12" s="23">
        <f>SUM(F7:F11)</f>
        <v>26060.5504587156</v>
      </c>
      <c r="G12" s="22">
        <f>SUM(G7:G11)</f>
        <v>405800</v>
      </c>
      <c r="H12" s="24"/>
      <c r="I12" s="22">
        <f>SUM(I7:I11)</f>
        <v>200000</v>
      </c>
      <c r="J12" s="24"/>
      <c r="K12" s="3"/>
      <c r="L12" s="4"/>
    </row>
    <row r="13" ht="18" customHeight="1" spans="1:15">
      <c r="A13" s="2" t="s">
        <v>29</v>
      </c>
      <c r="B13" s="5"/>
      <c r="J13" s="3"/>
      <c r="K13" s="40" t="s">
        <v>37</v>
      </c>
      <c r="L13" s="16" t="s">
        <v>38</v>
      </c>
      <c r="M13" s="16" t="s">
        <v>39</v>
      </c>
      <c r="N13" s="16" t="s">
        <v>40</v>
      </c>
      <c r="O13" s="16" t="s">
        <v>41</v>
      </c>
    </row>
    <row r="14" s="1" customFormat="1" ht="18" customHeight="1" spans="1:15">
      <c r="A14" s="25" t="s">
        <v>30</v>
      </c>
      <c r="B14" s="15" t="s">
        <v>31</v>
      </c>
      <c r="C14" s="15" t="s">
        <v>32</v>
      </c>
      <c r="D14" s="15" t="s">
        <v>33</v>
      </c>
      <c r="E14" s="15" t="s">
        <v>19</v>
      </c>
      <c r="F14" s="15" t="s">
        <v>34</v>
      </c>
      <c r="G14" s="15" t="s">
        <v>17</v>
      </c>
      <c r="H14" s="15" t="s">
        <v>35</v>
      </c>
      <c r="I14" s="15" t="s">
        <v>36</v>
      </c>
      <c r="J14" s="15" t="s">
        <v>23</v>
      </c>
      <c r="K14" s="41"/>
      <c r="L14" s="42"/>
      <c r="M14" s="28"/>
      <c r="N14" s="28"/>
      <c r="O14" s="42"/>
    </row>
    <row r="15" s="1" customFormat="1" ht="18" customHeight="1" spans="1:15">
      <c r="A15" s="9" t="s">
        <v>42</v>
      </c>
      <c r="B15" s="26">
        <f>ROUND(G15/(1+E15),2)</f>
        <v>284403.67</v>
      </c>
      <c r="C15" s="27">
        <v>1</v>
      </c>
      <c r="D15" s="28" t="s">
        <v>43</v>
      </c>
      <c r="E15" s="29">
        <v>0.09</v>
      </c>
      <c r="F15" s="26">
        <f>ROUND(G15/(1+E15)*E15,2)</f>
        <v>25596.33</v>
      </c>
      <c r="G15" s="30">
        <v>310000</v>
      </c>
      <c r="H15" s="17"/>
      <c r="I15" s="10">
        <v>180000</v>
      </c>
      <c r="J15" s="35"/>
      <c r="K15" s="41" t="s">
        <v>44</v>
      </c>
      <c r="L15" s="42"/>
      <c r="M15" s="28"/>
      <c r="N15" s="28"/>
      <c r="O15" s="42"/>
    </row>
    <row r="16" s="1" customFormat="1" ht="18" customHeight="1" spans="1:15">
      <c r="A16" s="9" t="s">
        <v>42</v>
      </c>
      <c r="B16" s="26">
        <f t="shared" ref="B16:B29" si="6">ROUND(G16/(1+E16),2)</f>
        <v>3715.6</v>
      </c>
      <c r="C16" s="27">
        <v>1</v>
      </c>
      <c r="D16" s="28" t="s">
        <v>46</v>
      </c>
      <c r="E16" s="29">
        <v>0.09</v>
      </c>
      <c r="F16" s="26">
        <f t="shared" ref="F16:F29" si="7">ROUND(G16/(1+E16)*E16,2)</f>
        <v>334.4</v>
      </c>
      <c r="G16" s="19">
        <v>4050</v>
      </c>
      <c r="H16" s="31"/>
      <c r="I16" s="10"/>
      <c r="J16" s="35"/>
      <c r="K16" s="41" t="s">
        <v>47</v>
      </c>
      <c r="L16" s="42"/>
      <c r="M16" s="28"/>
      <c r="N16" s="28"/>
      <c r="O16" s="42"/>
    </row>
    <row r="17" s="1" customFormat="1" ht="18" customHeight="1" spans="1:15">
      <c r="A17" s="9" t="s">
        <v>42</v>
      </c>
      <c r="B17" s="26">
        <f t="shared" si="6"/>
        <v>295.28</v>
      </c>
      <c r="C17" s="27">
        <v>1</v>
      </c>
      <c r="D17" s="28" t="s">
        <v>46</v>
      </c>
      <c r="E17" s="29">
        <v>0.06</v>
      </c>
      <c r="F17" s="26">
        <f t="shared" si="7"/>
        <v>17.72</v>
      </c>
      <c r="G17" s="19">
        <v>313</v>
      </c>
      <c r="H17" s="17"/>
      <c r="I17" s="10"/>
      <c r="J17" s="35"/>
      <c r="K17" s="41" t="s">
        <v>48</v>
      </c>
      <c r="L17" s="42"/>
      <c r="M17" s="28"/>
      <c r="N17" s="28"/>
      <c r="O17" s="42"/>
    </row>
    <row r="18" s="1" customFormat="1" ht="18" customHeight="1" spans="1:15">
      <c r="A18" s="9" t="s">
        <v>42</v>
      </c>
      <c r="B18" s="26">
        <f t="shared" si="6"/>
        <v>1237.17</v>
      </c>
      <c r="C18" s="27">
        <v>1</v>
      </c>
      <c r="D18" s="28" t="s">
        <v>46</v>
      </c>
      <c r="E18" s="29">
        <v>0.13</v>
      </c>
      <c r="F18" s="26">
        <f t="shared" si="7"/>
        <v>160.83</v>
      </c>
      <c r="G18" s="19">
        <v>1398</v>
      </c>
      <c r="H18" s="17"/>
      <c r="I18" s="10"/>
      <c r="J18" s="35"/>
      <c r="K18" s="41" t="s">
        <v>49</v>
      </c>
      <c r="L18" s="42"/>
      <c r="M18" s="28"/>
      <c r="N18" s="28"/>
      <c r="O18" s="42"/>
    </row>
    <row r="19" s="1" customFormat="1" ht="18" customHeight="1" spans="1:15">
      <c r="A19" s="9"/>
      <c r="B19" s="26">
        <f t="shared" si="6"/>
        <v>0</v>
      </c>
      <c r="C19" s="27"/>
      <c r="D19" s="28" t="s">
        <v>43</v>
      </c>
      <c r="E19" s="29">
        <v>0</v>
      </c>
      <c r="F19" s="26">
        <f t="shared" si="7"/>
        <v>0</v>
      </c>
      <c r="G19" s="19"/>
      <c r="H19" s="17"/>
      <c r="I19" s="10">
        <v>5641.49</v>
      </c>
      <c r="J19" s="35" t="s">
        <v>50</v>
      </c>
      <c r="K19" s="41" t="s">
        <v>51</v>
      </c>
      <c r="L19" s="42"/>
      <c r="M19" s="28"/>
      <c r="N19" s="28"/>
      <c r="O19" s="42"/>
    </row>
    <row r="20" s="1" customFormat="1" ht="18" customHeight="1" spans="1:15">
      <c r="A20" s="9" t="s">
        <v>52</v>
      </c>
      <c r="B20" s="26">
        <f t="shared" si="6"/>
        <v>100000</v>
      </c>
      <c r="C20" s="27">
        <v>1</v>
      </c>
      <c r="D20" s="28" t="s">
        <v>46</v>
      </c>
      <c r="E20" s="29">
        <v>0</v>
      </c>
      <c r="F20" s="26">
        <f t="shared" si="7"/>
        <v>0</v>
      </c>
      <c r="G20" s="19">
        <v>100000</v>
      </c>
      <c r="H20" s="17"/>
      <c r="I20" s="10"/>
      <c r="J20" s="35"/>
      <c r="K20" s="41" t="s">
        <v>53</v>
      </c>
      <c r="L20" s="42" t="s">
        <v>54</v>
      </c>
      <c r="M20" s="28"/>
      <c r="N20" s="28"/>
      <c r="O20" s="42"/>
    </row>
    <row r="21" s="1" customFormat="1" ht="18" customHeight="1" spans="1:15">
      <c r="A21" s="9" t="s">
        <v>52</v>
      </c>
      <c r="B21" s="26">
        <f t="shared" si="6"/>
        <v>2732.1</v>
      </c>
      <c r="C21" s="27">
        <v>1</v>
      </c>
      <c r="D21" s="28" t="s">
        <v>43</v>
      </c>
      <c r="E21" s="29">
        <v>0</v>
      </c>
      <c r="F21" s="26">
        <v>152.47</v>
      </c>
      <c r="G21" s="19">
        <v>2732.1</v>
      </c>
      <c r="H21" s="17"/>
      <c r="I21" s="10"/>
      <c r="J21" s="35"/>
      <c r="K21" s="41" t="s">
        <v>55</v>
      </c>
      <c r="L21" s="42"/>
      <c r="M21" s="28"/>
      <c r="N21" s="28"/>
      <c r="O21" s="42"/>
    </row>
    <row r="22" s="1" customFormat="1" ht="18" customHeight="1" spans="1:15">
      <c r="A22" s="9"/>
      <c r="B22" s="26">
        <f t="shared" si="6"/>
        <v>0</v>
      </c>
      <c r="C22" s="27"/>
      <c r="D22" s="28" t="s">
        <v>43</v>
      </c>
      <c r="E22" s="29"/>
      <c r="F22" s="26">
        <f t="shared" si="7"/>
        <v>0</v>
      </c>
      <c r="G22" s="19"/>
      <c r="H22" s="17"/>
      <c r="I22" s="10"/>
      <c r="J22" s="35"/>
      <c r="K22" s="41"/>
      <c r="L22" s="42"/>
      <c r="M22" s="28"/>
      <c r="N22" s="28"/>
      <c r="O22" s="42"/>
    </row>
    <row r="23" s="1" customFormat="1" ht="18" customHeight="1" spans="1:15">
      <c r="A23" s="9"/>
      <c r="B23" s="26">
        <f t="shared" si="6"/>
        <v>0</v>
      </c>
      <c r="C23" s="27"/>
      <c r="D23" s="28" t="s">
        <v>43</v>
      </c>
      <c r="E23" s="29"/>
      <c r="F23" s="26">
        <f t="shared" si="7"/>
        <v>0</v>
      </c>
      <c r="G23" s="19"/>
      <c r="H23" s="17"/>
      <c r="I23" s="10"/>
      <c r="J23" s="35"/>
      <c r="K23" s="41"/>
      <c r="L23" s="42"/>
      <c r="M23" s="28"/>
      <c r="N23" s="28"/>
      <c r="O23" s="42"/>
    </row>
    <row r="24" s="1" customFormat="1" ht="18" customHeight="1" spans="1:15">
      <c r="A24" s="9"/>
      <c r="B24" s="26">
        <f t="shared" si="6"/>
        <v>8535.57</v>
      </c>
      <c r="C24" s="27"/>
      <c r="D24" s="28" t="s">
        <v>43</v>
      </c>
      <c r="E24" s="29"/>
      <c r="F24" s="26">
        <f t="shared" si="7"/>
        <v>0</v>
      </c>
      <c r="G24" s="30">
        <v>8535.57</v>
      </c>
      <c r="H24" s="17"/>
      <c r="I24" s="43">
        <f>G7/1.09*2.2927/100</f>
        <v>8535.57486238532</v>
      </c>
      <c r="J24" s="35" t="s">
        <v>114</v>
      </c>
      <c r="K24" s="41"/>
      <c r="L24" s="42"/>
      <c r="M24" s="28"/>
      <c r="N24" s="28"/>
      <c r="O24" s="42"/>
    </row>
    <row r="25" s="1" customFormat="1" ht="18" customHeight="1" spans="1:15">
      <c r="A25" s="9"/>
      <c r="B25" s="26">
        <f t="shared" si="6"/>
        <v>3722.94</v>
      </c>
      <c r="C25" s="27"/>
      <c r="D25" s="28" t="s">
        <v>43</v>
      </c>
      <c r="E25" s="29"/>
      <c r="F25" s="26">
        <f t="shared" si="7"/>
        <v>0</v>
      </c>
      <c r="G25" s="19">
        <v>3722.93577981651</v>
      </c>
      <c r="H25" s="17"/>
      <c r="I25" s="43">
        <f>B7*0.01</f>
        <v>3722.93577981651</v>
      </c>
      <c r="J25" s="35" t="s">
        <v>115</v>
      </c>
      <c r="K25" s="41"/>
      <c r="L25" s="42"/>
      <c r="M25" s="28"/>
      <c r="N25" s="28"/>
      <c r="O25" s="42"/>
    </row>
    <row r="26" s="1" customFormat="1" ht="18" customHeight="1" spans="1:15">
      <c r="A26" s="9"/>
      <c r="B26" s="26">
        <f t="shared" si="6"/>
        <v>2000</v>
      </c>
      <c r="C26" s="27"/>
      <c r="D26" s="28" t="s">
        <v>43</v>
      </c>
      <c r="E26" s="29"/>
      <c r="F26" s="26">
        <f t="shared" si="7"/>
        <v>0</v>
      </c>
      <c r="G26" s="19">
        <v>2000</v>
      </c>
      <c r="H26" s="17"/>
      <c r="I26" s="43">
        <f>I7*0.01</f>
        <v>2000</v>
      </c>
      <c r="J26" s="35" t="s">
        <v>116</v>
      </c>
      <c r="K26" s="41"/>
      <c r="L26" s="42"/>
      <c r="M26" s="28"/>
      <c r="N26" s="28"/>
      <c r="O26" s="42"/>
    </row>
    <row r="27" s="1" customFormat="1" ht="18" customHeight="1" spans="1:15">
      <c r="A27" s="9"/>
      <c r="B27" s="26">
        <f t="shared" si="6"/>
        <v>100</v>
      </c>
      <c r="C27" s="27"/>
      <c r="D27" s="28" t="s">
        <v>43</v>
      </c>
      <c r="E27" s="29"/>
      <c r="F27" s="26">
        <f t="shared" si="7"/>
        <v>0</v>
      </c>
      <c r="G27" s="19">
        <v>100</v>
      </c>
      <c r="H27" s="17"/>
      <c r="I27" s="43">
        <v>100</v>
      </c>
      <c r="J27" s="35" t="s">
        <v>94</v>
      </c>
      <c r="K27" s="41"/>
      <c r="L27" s="42"/>
      <c r="M27" s="28"/>
      <c r="N27" s="28"/>
      <c r="O27" s="42"/>
    </row>
    <row r="28" s="1" customFormat="1" ht="18" customHeight="1" spans="1:15">
      <c r="A28" s="9"/>
      <c r="B28" s="26">
        <f t="shared" si="6"/>
        <v>0</v>
      </c>
      <c r="C28" s="27"/>
      <c r="D28" s="28" t="s">
        <v>43</v>
      </c>
      <c r="E28" s="29"/>
      <c r="F28" s="26">
        <f t="shared" si="7"/>
        <v>0</v>
      </c>
      <c r="G28" s="19"/>
      <c r="H28" s="17"/>
      <c r="I28" s="10"/>
      <c r="J28" s="35"/>
      <c r="K28" s="41"/>
      <c r="L28" s="42"/>
      <c r="M28" s="28"/>
      <c r="N28" s="28"/>
      <c r="O28" s="42"/>
    </row>
    <row r="29" ht="18" customHeight="1" spans="1:15">
      <c r="A29" s="9"/>
      <c r="B29" s="26">
        <f t="shared" si="6"/>
        <v>0</v>
      </c>
      <c r="C29" s="27"/>
      <c r="D29" s="28" t="s">
        <v>43</v>
      </c>
      <c r="E29" s="29"/>
      <c r="F29" s="26">
        <f t="shared" si="7"/>
        <v>0</v>
      </c>
      <c r="G29" s="19"/>
      <c r="H29" s="17"/>
      <c r="I29" s="10"/>
      <c r="J29" s="35"/>
      <c r="K29" s="44"/>
      <c r="L29" s="24"/>
      <c r="M29" s="35"/>
      <c r="N29" s="35"/>
      <c r="O29" s="24"/>
    </row>
    <row r="30" ht="18" customHeight="1" spans="1:14">
      <c r="A30" s="22" t="s">
        <v>28</v>
      </c>
      <c r="B30" s="21">
        <f>SUM(B15:B29)</f>
        <v>406742.33</v>
      </c>
      <c r="C30" s="22"/>
      <c r="D30" s="32"/>
      <c r="E30" s="32"/>
      <c r="F30" s="23">
        <f>SUM(F15:F29)</f>
        <v>26261.75</v>
      </c>
      <c r="G30" s="22">
        <f>SUM(G15:G29)</f>
        <v>432851.605779817</v>
      </c>
      <c r="H30" s="24"/>
      <c r="I30" s="10">
        <f>SUM(I15:I29)</f>
        <v>200000.000642202</v>
      </c>
      <c r="J30" s="24"/>
      <c r="K30" s="45"/>
      <c r="M30" s="46"/>
      <c r="N30" s="46"/>
    </row>
    <row r="31" ht="18" customHeight="1" spans="1:11">
      <c r="A31" s="33"/>
      <c r="B31" s="33">
        <f>B12-B30</f>
        <v>-34448.7520183486</v>
      </c>
      <c r="C31" s="33"/>
      <c r="D31" s="34"/>
      <c r="E31" s="34"/>
      <c r="F31" s="33">
        <f>F12-F30</f>
        <v>-201.199541284412</v>
      </c>
      <c r="G31" s="33"/>
      <c r="H31" s="5"/>
      <c r="I31" s="3">
        <f>I12-I30</f>
        <v>-0.000642201805021614</v>
      </c>
      <c r="J31" s="5"/>
      <c r="K31" s="5">
        <f>F31/0.09*1.09</f>
        <v>-2436.7500000001</v>
      </c>
    </row>
    <row r="32" ht="18" customHeight="1" spans="1:7">
      <c r="A32" s="2" t="s">
        <v>96</v>
      </c>
      <c r="C32" s="2"/>
      <c r="F32" s="5"/>
      <c r="G32" s="5"/>
    </row>
    <row r="33" ht="18" customHeight="1" spans="1:7">
      <c r="A33" s="16" t="s">
        <v>97</v>
      </c>
      <c r="B33" s="15" t="s">
        <v>98</v>
      </c>
      <c r="C33" s="24"/>
      <c r="D33" s="16" t="s">
        <v>97</v>
      </c>
      <c r="E33" s="15" t="s">
        <v>19</v>
      </c>
      <c r="F33" s="15" t="s">
        <v>98</v>
      </c>
      <c r="G33" s="15" t="s">
        <v>117</v>
      </c>
    </row>
    <row r="34" ht="18" customHeight="1" spans="1:7">
      <c r="A34" s="24" t="s">
        <v>101</v>
      </c>
      <c r="B34" s="26">
        <f>(B12-B30)*0.25</f>
        <v>-8612.18800458715</v>
      </c>
      <c r="C34" s="24"/>
      <c r="D34" s="8" t="s">
        <v>102</v>
      </c>
      <c r="E34" s="35" t="s">
        <v>103</v>
      </c>
      <c r="F34" s="36">
        <f>F12-F30</f>
        <v>-201.199541284412</v>
      </c>
      <c r="G34" s="36"/>
    </row>
    <row r="35" ht="18" customHeight="1" spans="1:7">
      <c r="A35" s="24" t="s">
        <v>104</v>
      </c>
      <c r="B35" s="10">
        <f>G12*0.0003</f>
        <v>121.74</v>
      </c>
      <c r="C35" s="24"/>
      <c r="D35" s="37" t="s">
        <v>105</v>
      </c>
      <c r="E35" s="11">
        <v>0.05</v>
      </c>
      <c r="F35" s="10">
        <f>F34*E35</f>
        <v>-10.0599770642206</v>
      </c>
      <c r="G35" s="10"/>
    </row>
    <row r="36" ht="18" customHeight="1" spans="1:7">
      <c r="A36" s="24" t="s">
        <v>106</v>
      </c>
      <c r="B36" s="10">
        <f>B12*0.0006</f>
        <v>223.376146788991</v>
      </c>
      <c r="C36" s="24"/>
      <c r="D36" s="37" t="s">
        <v>107</v>
      </c>
      <c r="E36" s="11">
        <v>0.03</v>
      </c>
      <c r="F36" s="10">
        <f>F34*E36</f>
        <v>-6.03598623853235</v>
      </c>
      <c r="G36" s="10"/>
    </row>
    <row r="37" ht="18" customHeight="1" spans="1:7">
      <c r="A37" s="24"/>
      <c r="B37" s="24"/>
      <c r="C37" s="24"/>
      <c r="D37" s="37" t="s">
        <v>108</v>
      </c>
      <c r="E37" s="11">
        <v>0.02</v>
      </c>
      <c r="F37" s="10">
        <f>F34*E37</f>
        <v>-4.02399082568823</v>
      </c>
      <c r="G37" s="10"/>
    </row>
    <row r="38" spans="1:7">
      <c r="A38" s="20" t="s">
        <v>109</v>
      </c>
      <c r="B38" s="21">
        <f>SUM(B34:B37)</f>
        <v>-8267.07185779816</v>
      </c>
      <c r="C38" s="24"/>
      <c r="D38" s="20" t="s">
        <v>109</v>
      </c>
      <c r="E38" s="20"/>
      <c r="F38" s="23">
        <f>SUM(F34:F37)</f>
        <v>-221.319495412853</v>
      </c>
      <c r="G38" s="23"/>
    </row>
    <row r="39" spans="3:7">
      <c r="C39" s="2"/>
      <c r="F39" s="5"/>
      <c r="G39" s="5"/>
    </row>
    <row r="40" spans="3:7">
      <c r="C40" s="2"/>
      <c r="F40" s="5"/>
      <c r="G40" s="5"/>
    </row>
    <row r="41" spans="3:7">
      <c r="C41" s="2"/>
      <c r="F41" s="5"/>
      <c r="G41" s="5"/>
    </row>
    <row r="42" spans="3:7">
      <c r="C42" s="2"/>
      <c r="F42" s="5"/>
      <c r="G42" s="5"/>
    </row>
    <row r="43" spans="3:7">
      <c r="C43" s="2"/>
      <c r="F43" s="5"/>
      <c r="G43" s="5"/>
    </row>
    <row r="44" spans="3:7">
      <c r="C44" s="2"/>
      <c r="F44" s="5"/>
      <c r="G44" s="5"/>
    </row>
    <row r="45" spans="3:7">
      <c r="C45" s="2"/>
      <c r="F45" s="5"/>
      <c r="G45" s="5"/>
    </row>
    <row r="46" spans="3:7">
      <c r="C46" s="2"/>
      <c r="F46" s="5"/>
      <c r="G46" s="5"/>
    </row>
    <row r="47" spans="3:7">
      <c r="C47" s="2"/>
      <c r="F47" s="5"/>
      <c r="G47" s="5"/>
    </row>
    <row r="48" spans="3:7">
      <c r="C48" s="2"/>
      <c r="F48" s="5"/>
      <c r="G48" s="5"/>
    </row>
    <row r="49" spans="3:7">
      <c r="C49" s="2"/>
      <c r="F49" s="5"/>
      <c r="G49" s="5"/>
    </row>
    <row r="50" spans="3:7">
      <c r="C50" s="2"/>
      <c r="F50" s="5"/>
      <c r="G50" s="5"/>
    </row>
    <row r="51" spans="3:7">
      <c r="C51" s="2"/>
      <c r="F51" s="5"/>
      <c r="G51" s="5"/>
    </row>
    <row r="52" spans="3:7">
      <c r="C52" s="2"/>
      <c r="F52" s="5"/>
      <c r="G52" s="5"/>
    </row>
    <row r="53" spans="3:7">
      <c r="C53" s="2"/>
      <c r="F53" s="5"/>
      <c r="G53" s="5"/>
    </row>
    <row r="54" spans="3:7">
      <c r="C54" s="2"/>
      <c r="F54" s="5"/>
      <c r="G54" s="5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第二次</vt:lpstr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2020-04-29T05:47:00Z</dcterms:created>
  <dcterms:modified xsi:type="dcterms:W3CDTF">2022-03-04T07:31:54Z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F146F694CA414911B74F1648324E8119</vt:lpwstr>
  </property>
</Properties>
</file>