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Sheet1!$A$14:$P$49</definedName>
  </definedNames>
  <calcPr calcId="144525" concurrentCalc="0"/>
</workbook>
</file>

<file path=xl/comments1.xml><?xml version="1.0" encoding="utf-8"?>
<comments xmlns="http://schemas.openxmlformats.org/spreadsheetml/2006/main">
  <authors>
    <author>qyr</author>
    <author>cw05</author>
  </authors>
  <commentList>
    <comment ref="G39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40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H40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41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G44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异地已预缴120</t>
        </r>
      </text>
    </comment>
    <comment ref="H44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印花税异地已预缴45</t>
        </r>
      </text>
    </comment>
    <comment ref="G45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H45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</commentList>
</comments>
</file>

<file path=xl/sharedStrings.xml><?xml version="1.0" encoding="utf-8"?>
<sst xmlns="http://schemas.openxmlformats.org/spreadsheetml/2006/main" count="114" uniqueCount="71">
  <si>
    <t>C12051 京沪高速公路莱芜至临汾（鲁苏界）段改扩建工程</t>
  </si>
  <si>
    <t>中标日期</t>
  </si>
  <si>
    <t>中标价</t>
  </si>
  <si>
    <t>负责人</t>
  </si>
  <si>
    <t>孔令双15964510181</t>
  </si>
  <si>
    <t>建设单位</t>
  </si>
  <si>
    <t>中建八局第一建设有限公司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</si>
  <si>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</si>
  <si>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</si>
  <si>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</si>
  <si>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</si>
  <si>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</si>
  <si>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</si>
  <si>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</si>
  <si>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</si>
  <si>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</si>
  <si>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</si>
  <si>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</si>
  <si>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</si>
  <si>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</si>
  <si>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</si>
  <si>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</si>
  <si>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</si>
  <si>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</si>
  <si>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</si>
  <si>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</si>
  <si>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</si>
  <si>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</si>
  <si>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</si>
  <si>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</si>
  <si>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</si>
  <si>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</si>
  <si>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周转金</t>
  </si>
  <si>
    <t>销货单位</t>
  </si>
  <si>
    <t>货物</t>
  </si>
  <si>
    <t>合同</t>
  </si>
  <si>
    <t>发货单</t>
  </si>
  <si>
    <t>备注</t>
  </si>
  <si>
    <t>4份</t>
  </si>
  <si>
    <t>专</t>
  </si>
  <si>
    <t>山东力达防水防火科技有限公司</t>
  </si>
  <si>
    <t>工程款</t>
  </si>
  <si>
    <t>合同价491449.39</t>
  </si>
  <si>
    <t>1份</t>
  </si>
  <si>
    <t>2次</t>
  </si>
  <si>
    <t>暂扣</t>
  </si>
  <si>
    <t>成本不够（1775.33*25%）</t>
  </si>
  <si>
    <t>扣</t>
  </si>
  <si>
    <t>转账手续费</t>
  </si>
  <si>
    <t>管理费2%</t>
  </si>
  <si>
    <t>企税1%</t>
  </si>
  <si>
    <t>水利基金</t>
  </si>
  <si>
    <t>1次</t>
  </si>
  <si>
    <t>外经证</t>
  </si>
  <si>
    <t>应提供成本</t>
  </si>
  <si>
    <t>可支付金额</t>
  </si>
  <si>
    <t>尚需提供成本</t>
  </si>
  <si>
    <t>公司代缴税金：</t>
  </si>
  <si>
    <t>税种</t>
  </si>
  <si>
    <t>税额</t>
  </si>
  <si>
    <t>2020年9月开票税金</t>
  </si>
  <si>
    <t>2021年2月开票税金</t>
  </si>
  <si>
    <t>企业所得税</t>
  </si>
  <si>
    <t>增值税</t>
  </si>
  <si>
    <t>差额</t>
  </si>
  <si>
    <t>印花税</t>
  </si>
  <si>
    <t>城市维护建设税</t>
  </si>
  <si>
    <t>教育费附加</t>
  </si>
  <si>
    <t>地方教育费附加</t>
  </si>
  <si>
    <t>小计</t>
  </si>
  <si>
    <t>核实下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</si>
</sst>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yy/m/d;@"/>
    <numFmt numFmtId="178" formatCode="#,##0.00_ 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2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12" fillId="12" borderId="9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</cellStyleXfs>
  <cellXfs count="80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8" fontId="1" fillId="2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6" fillId="4" borderId="2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6" fontId="6" fillId="3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0" fontId="6" fillId="3" borderId="2" xfId="0" applyNumberFormat="1" applyFont="1" applyFill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/>
    </xf>
    <xf numFmtId="178" fontId="6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7"/>
  <sheetViews>
    <sheetView tabSelected="1" topLeftCell="A7" workbookViewId="0">
      <selection activeCell="J38" sqref="J38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10" width="13.875" style="3" customWidth="1"/>
    <col min="11" max="11" width="7.875" style="5" customWidth="1"/>
    <col min="12" max="12" width="34" style="6" customWidth="1"/>
    <col min="13" max="13" width="16.5" style="6" customWidth="1"/>
    <col min="14" max="14" width="14.875" style="7" customWidth="1"/>
    <col min="15" max="15" width="5.625" style="6" customWidth="1"/>
    <col min="16" max="16384" width="9" style="6"/>
  </cols>
  <sheetData>
    <row r="1" ht="21.95" customHeight="1" spans="1:13">
      <c r="A1" s="8" t="s">
        <v>0</v>
      </c>
      <c r="B1" s="8"/>
      <c r="C1" s="8"/>
      <c r="D1" s="8"/>
      <c r="E1" s="8"/>
      <c r="F1" s="9"/>
      <c r="G1" s="9"/>
      <c r="H1" s="8"/>
      <c r="I1" s="9"/>
      <c r="J1" s="9"/>
      <c r="K1" s="8"/>
      <c r="L1" s="19"/>
      <c r="M1" s="19"/>
    </row>
    <row r="2" ht="18" customHeight="1" spans="1:13">
      <c r="A2" s="10" t="s">
        <v>1</v>
      </c>
      <c r="B2" s="11">
        <v>43810</v>
      </c>
      <c r="C2" s="12" t="s">
        <v>2</v>
      </c>
      <c r="D2" s="13">
        <v>1045637</v>
      </c>
      <c r="E2" s="14" t="s">
        <v>3</v>
      </c>
      <c r="F2" s="15" t="s">
        <v>4</v>
      </c>
      <c r="G2" s="16" t="s">
        <v>5</v>
      </c>
      <c r="H2" s="17" t="s">
        <v>6</v>
      </c>
      <c r="I2" s="57"/>
      <c r="J2" s="57"/>
      <c r="K2" s="58"/>
      <c r="L2" s="19"/>
      <c r="M2" s="19"/>
    </row>
    <row r="3" ht="18" customHeight="1" spans="1:13">
      <c r="A3" s="10" t="s">
        <v>7</v>
      </c>
      <c r="B3" s="18"/>
      <c r="C3" s="12" t="s">
        <v>8</v>
      </c>
      <c r="D3" s="12"/>
      <c r="H3" s="19"/>
      <c r="I3" s="59"/>
      <c r="J3" s="59"/>
      <c r="K3" s="19"/>
      <c r="L3" s="19"/>
      <c r="M3" s="19"/>
    </row>
    <row r="4" ht="18" customHeight="1" spans="1:13">
      <c r="A4" s="2" t="s">
        <v>9</v>
      </c>
      <c r="H4" s="19"/>
      <c r="I4" s="59"/>
      <c r="J4" s="59"/>
      <c r="K4" s="19"/>
      <c r="L4" s="19"/>
      <c r="M4" s="19"/>
    </row>
    <row r="5" ht="18" customHeight="1" spans="1:11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1"/>
      <c r="K5" s="22"/>
    </row>
    <row r="6" ht="18" customHeight="1" spans="1:11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60" t="s">
        <v>20</v>
      </c>
      <c r="K6" s="61"/>
    </row>
    <row r="7" ht="18" customHeight="1" spans="1:11">
      <c r="A7" s="23">
        <v>44098</v>
      </c>
      <c r="B7" s="12">
        <f>G7/(1+C7+E7)</f>
        <v>366972.47706422</v>
      </c>
      <c r="C7" s="24">
        <v>0.02</v>
      </c>
      <c r="D7" s="25">
        <f>G7/(1+E7+C7)*C7</f>
        <v>7339.4495412844</v>
      </c>
      <c r="E7" s="26">
        <v>0.07</v>
      </c>
      <c r="F7" s="12">
        <f>G7/(1+C7+E7)*E7</f>
        <v>25688.0733944954</v>
      </c>
      <c r="G7" s="27">
        <v>400000</v>
      </c>
      <c r="H7" s="23">
        <v>44104</v>
      </c>
      <c r="I7" s="12">
        <v>400000</v>
      </c>
      <c r="J7" s="62" t="s">
        <v>21</v>
      </c>
      <c r="K7" s="63"/>
    </row>
    <row r="8" ht="18" customHeight="1" spans="1:11">
      <c r="A8" s="23">
        <v>44231</v>
      </c>
      <c r="B8" s="12">
        <f t="shared" ref="B7:B9" si="0">G8/(1+C8+E8)</f>
        <v>137614.678899083</v>
      </c>
      <c r="C8" s="24">
        <v>0.02</v>
      </c>
      <c r="D8" s="25">
        <f t="shared" ref="D7:D9" si="1">G8/(1+E8+C8)*C8</f>
        <v>2752.29357798165</v>
      </c>
      <c r="E8" s="26">
        <v>0.07</v>
      </c>
      <c r="F8" s="12">
        <f t="shared" ref="F7:F9" si="2">G8/(1+C8+E8)*E8</f>
        <v>9633.02752293578</v>
      </c>
      <c r="G8" s="27">
        <v>150000</v>
      </c>
      <c r="H8" s="23">
        <v>44237</v>
      </c>
      <c r="I8" s="12">
        <v>150000</v>
      </c>
      <c r="J8" s="62" t="s">
        <v>22</v>
      </c>
      <c r="K8" s="63"/>
    </row>
    <row r="9" ht="18" customHeight="1" spans="1:11">
      <c r="A9" s="23"/>
      <c r="B9" s="12">
        <f t="shared" si="0"/>
        <v>0</v>
      </c>
      <c r="C9" s="24">
        <v>0.02</v>
      </c>
      <c r="D9" s="25">
        <f t="shared" si="1"/>
        <v>0</v>
      </c>
      <c r="E9" s="26">
        <v>0.07</v>
      </c>
      <c r="F9" s="12">
        <f t="shared" si="2"/>
        <v>0</v>
      </c>
      <c r="G9" s="27"/>
      <c r="H9" s="23"/>
      <c r="I9" s="12"/>
      <c r="J9" s="62"/>
      <c r="K9" s="63"/>
    </row>
    <row r="10" ht="18" customHeight="1" spans="1:11">
      <c r="A10" s="23"/>
      <c r="B10" s="12"/>
      <c r="C10" s="24"/>
      <c r="D10" s="25"/>
      <c r="E10" s="24"/>
      <c r="F10" s="12"/>
      <c r="G10" s="27"/>
      <c r="H10" s="23"/>
      <c r="I10" s="12"/>
      <c r="J10" s="62"/>
      <c r="K10" s="63"/>
    </row>
    <row r="11" ht="18" customHeight="1" spans="1:11">
      <c r="A11" s="23"/>
      <c r="B11" s="12"/>
      <c r="C11" s="24"/>
      <c r="D11" s="25"/>
      <c r="E11" s="24"/>
      <c r="F11" s="12"/>
      <c r="G11" s="27"/>
      <c r="H11" s="23"/>
      <c r="I11" s="12"/>
      <c r="J11" s="62"/>
      <c r="K11" s="63"/>
    </row>
    <row r="12" ht="18" customHeight="1" spans="1:11">
      <c r="A12" s="28" t="s">
        <v>23</v>
      </c>
      <c r="B12" s="29">
        <f>SUM(B7:B9)</f>
        <v>504587.155963303</v>
      </c>
      <c r="C12" s="30"/>
      <c r="D12" s="30">
        <f>SUM(D7:D9)</f>
        <v>10091.7431192661</v>
      </c>
      <c r="E12" s="30"/>
      <c r="F12" s="31">
        <f>SUM(F7:F9)</f>
        <v>35321.1009174312</v>
      </c>
      <c r="G12" s="30">
        <f>SUM(G7:G9)</f>
        <v>550000</v>
      </c>
      <c r="H12" s="32"/>
      <c r="I12" s="30">
        <f>SUM(I7:I9)</f>
        <v>550000</v>
      </c>
      <c r="J12" s="64"/>
      <c r="K12" s="65"/>
    </row>
    <row r="13" ht="18" customHeight="1" spans="1:13">
      <c r="A13" s="2" t="s">
        <v>24</v>
      </c>
      <c r="K13" s="4"/>
      <c r="L13" s="4"/>
      <c r="M13" s="5"/>
    </row>
    <row r="14" ht="18" customHeight="1" spans="1:16">
      <c r="A14" s="33" t="s">
        <v>25</v>
      </c>
      <c r="B14" s="21" t="s">
        <v>26</v>
      </c>
      <c r="C14" s="20" t="s">
        <v>27</v>
      </c>
      <c r="D14" s="20" t="s">
        <v>28</v>
      </c>
      <c r="E14" s="20" t="s">
        <v>16</v>
      </c>
      <c r="F14" s="21" t="s">
        <v>29</v>
      </c>
      <c r="G14" s="21" t="s">
        <v>14</v>
      </c>
      <c r="H14" s="20" t="s">
        <v>30</v>
      </c>
      <c r="I14" s="21" t="s">
        <v>31</v>
      </c>
      <c r="J14" s="21" t="s">
        <v>32</v>
      </c>
      <c r="K14" s="20" t="s">
        <v>20</v>
      </c>
      <c r="L14" s="66" t="s">
        <v>33</v>
      </c>
      <c r="M14" s="22" t="s">
        <v>34</v>
      </c>
      <c r="N14" s="67" t="s">
        <v>35</v>
      </c>
      <c r="O14" s="22" t="s">
        <v>36</v>
      </c>
      <c r="P14" s="22" t="s">
        <v>37</v>
      </c>
    </row>
    <row r="15" s="1" customFormat="1" ht="18" customHeight="1" spans="1:16">
      <c r="A15" s="34">
        <v>44075</v>
      </c>
      <c r="B15" s="35">
        <f>ROUND(G15/(1+E15),2)</f>
        <v>366972.48</v>
      </c>
      <c r="C15" s="36" t="s">
        <v>38</v>
      </c>
      <c r="D15" s="37" t="s">
        <v>39</v>
      </c>
      <c r="E15" s="38">
        <v>0.09</v>
      </c>
      <c r="F15" s="35">
        <f>ROUND(G15/(1+E15)*E15,2)</f>
        <v>33027.52</v>
      </c>
      <c r="G15" s="27">
        <v>400000</v>
      </c>
      <c r="H15" s="23"/>
      <c r="I15" s="12"/>
      <c r="J15" s="12"/>
      <c r="K15" s="68"/>
      <c r="L15" s="69" t="s">
        <v>40</v>
      </c>
      <c r="M15" s="70" t="s">
        <v>41</v>
      </c>
      <c r="N15" s="71" t="s">
        <v>42</v>
      </c>
      <c r="O15" s="70"/>
      <c r="P15" s="69"/>
    </row>
    <row r="16" s="1" customFormat="1" ht="18" customHeight="1" spans="1:16">
      <c r="A16" s="34"/>
      <c r="B16" s="35">
        <f>ROUND(G16/(1+E16),2)</f>
        <v>0</v>
      </c>
      <c r="C16" s="36"/>
      <c r="D16" s="37"/>
      <c r="E16" s="39"/>
      <c r="F16" s="35">
        <f>ROUND(G16/(1+E16)*E16,2)</f>
        <v>0</v>
      </c>
      <c r="G16" s="27"/>
      <c r="H16" s="40">
        <v>44118</v>
      </c>
      <c r="I16" s="35">
        <v>378959.64</v>
      </c>
      <c r="J16" s="35"/>
      <c r="K16" s="70"/>
      <c r="L16" s="69" t="s">
        <v>40</v>
      </c>
      <c r="M16" s="70"/>
      <c r="N16" s="72"/>
      <c r="O16" s="70"/>
      <c r="P16" s="69"/>
    </row>
    <row r="17" s="1" customFormat="1" ht="18" customHeight="1" spans="1:16">
      <c r="A17" s="34">
        <v>44228</v>
      </c>
      <c r="B17" s="35">
        <f>ROUND(G17/(1+E17),2)</f>
        <v>91743.12</v>
      </c>
      <c r="C17" s="36" t="s">
        <v>43</v>
      </c>
      <c r="D17" s="37" t="s">
        <v>39</v>
      </c>
      <c r="E17" s="38">
        <v>0.09</v>
      </c>
      <c r="F17" s="35">
        <f>ROUND(G17/(1+E17)*E17,2)</f>
        <v>8256.88</v>
      </c>
      <c r="G17" s="27">
        <v>100000</v>
      </c>
      <c r="H17" s="23"/>
      <c r="I17" s="12"/>
      <c r="J17" s="12"/>
      <c r="K17" s="68"/>
      <c r="L17" s="69" t="s">
        <v>40</v>
      </c>
      <c r="M17" s="70" t="s">
        <v>41</v>
      </c>
      <c r="N17" s="72"/>
      <c r="O17" s="70"/>
      <c r="P17" s="69"/>
    </row>
    <row r="18" s="1" customFormat="1" ht="18" customHeight="1" spans="1:16">
      <c r="A18" s="34"/>
      <c r="B18" s="35">
        <f>ROUND(G18/(1+E18),2)</f>
        <v>0</v>
      </c>
      <c r="C18" s="36"/>
      <c r="D18" s="37"/>
      <c r="E18" s="39"/>
      <c r="F18" s="35">
        <f>ROUND(G18/(1+E18)*E18,2)</f>
        <v>0</v>
      </c>
      <c r="G18" s="27"/>
      <c r="H18" s="23">
        <v>44256</v>
      </c>
      <c r="I18" s="12">
        <f>G15+G17-I16</f>
        <v>121040.36</v>
      </c>
      <c r="J18" s="12"/>
      <c r="K18" s="68" t="s">
        <v>21</v>
      </c>
      <c r="L18" s="32" t="s">
        <v>40</v>
      </c>
      <c r="M18" s="70" t="s">
        <v>41</v>
      </c>
      <c r="N18" s="72"/>
      <c r="O18" s="70"/>
      <c r="P18" s="69"/>
    </row>
    <row r="19" s="1" customFormat="1" ht="18" customHeight="1" spans="1:16">
      <c r="A19" s="34"/>
      <c r="B19" s="35"/>
      <c r="C19" s="36"/>
      <c r="D19" s="37"/>
      <c r="E19" s="39"/>
      <c r="F19" s="35"/>
      <c r="G19" s="27"/>
      <c r="H19" s="23"/>
      <c r="I19" s="12"/>
      <c r="J19" s="12"/>
      <c r="K19" s="68"/>
      <c r="L19" s="32"/>
      <c r="M19" s="70"/>
      <c r="N19" s="72"/>
      <c r="O19" s="70"/>
      <c r="P19" s="69"/>
    </row>
    <row r="20" s="1" customFormat="1" ht="18" customHeight="1" spans="1:16">
      <c r="A20" s="34"/>
      <c r="B20" s="35"/>
      <c r="C20" s="36"/>
      <c r="D20" s="37"/>
      <c r="E20" s="39"/>
      <c r="F20" s="35"/>
      <c r="G20" s="27"/>
      <c r="H20" s="23"/>
      <c r="I20" s="12"/>
      <c r="J20" s="12"/>
      <c r="K20" s="68"/>
      <c r="L20" s="32"/>
      <c r="M20" s="70"/>
      <c r="N20" s="72"/>
      <c r="O20" s="70"/>
      <c r="P20" s="69"/>
    </row>
    <row r="21" s="1" customFormat="1" ht="18" customHeight="1" spans="1:16">
      <c r="A21" s="34"/>
      <c r="B21" s="35"/>
      <c r="C21" s="36"/>
      <c r="D21" s="37"/>
      <c r="E21" s="39"/>
      <c r="F21" s="35"/>
      <c r="G21" s="27"/>
      <c r="H21" s="23"/>
      <c r="I21" s="12"/>
      <c r="J21" s="12"/>
      <c r="K21" s="68"/>
      <c r="L21" s="32"/>
      <c r="M21" s="70"/>
      <c r="N21" s="72"/>
      <c r="O21" s="70"/>
      <c r="P21" s="69"/>
    </row>
    <row r="22" s="1" customFormat="1" ht="18" customHeight="1" spans="1:16">
      <c r="A22" s="34"/>
      <c r="B22" s="35">
        <f t="shared" ref="B22:B34" si="3">ROUND(G22/(1+E22),2)</f>
        <v>0</v>
      </c>
      <c r="C22" s="36"/>
      <c r="D22" s="37"/>
      <c r="E22" s="39"/>
      <c r="F22" s="35">
        <f t="shared" ref="F22:F34" si="4">ROUND(G22/(1+E22)*E22,2)</f>
        <v>0</v>
      </c>
      <c r="G22" s="27"/>
      <c r="H22" s="23"/>
      <c r="I22" s="12"/>
      <c r="J22" s="12"/>
      <c r="K22" s="68"/>
      <c r="L22" s="69"/>
      <c r="M22" s="70"/>
      <c r="N22" s="72"/>
      <c r="O22" s="70"/>
      <c r="P22" s="69"/>
    </row>
    <row r="23" s="1" customFormat="1" ht="18" customHeight="1" spans="1:16">
      <c r="A23" s="34"/>
      <c r="B23" s="35">
        <f t="shared" si="3"/>
        <v>0</v>
      </c>
      <c r="C23" s="36"/>
      <c r="D23" s="37"/>
      <c r="E23" s="39"/>
      <c r="F23" s="35">
        <f t="shared" si="4"/>
        <v>0</v>
      </c>
      <c r="G23" s="27"/>
      <c r="H23" s="23"/>
      <c r="I23" s="12"/>
      <c r="J23" s="12"/>
      <c r="K23" s="73"/>
      <c r="L23" s="69"/>
      <c r="M23" s="70"/>
      <c r="N23" s="72"/>
      <c r="O23" s="70"/>
      <c r="P23" s="69"/>
    </row>
    <row r="24" s="1" customFormat="1" ht="18" customHeight="1" spans="1:16">
      <c r="A24" s="34"/>
      <c r="B24" s="35">
        <f t="shared" si="3"/>
        <v>0</v>
      </c>
      <c r="C24" s="36"/>
      <c r="D24" s="37"/>
      <c r="E24" s="39"/>
      <c r="F24" s="35">
        <f t="shared" si="4"/>
        <v>0</v>
      </c>
      <c r="G24" s="27"/>
      <c r="H24" s="23" t="s">
        <v>44</v>
      </c>
      <c r="I24" s="12">
        <f>B36*0.25</f>
        <v>3672.01743119251</v>
      </c>
      <c r="J24" s="12"/>
      <c r="K24" s="37" t="s">
        <v>45</v>
      </c>
      <c r="L24" s="69" t="s">
        <v>46</v>
      </c>
      <c r="M24" s="70"/>
      <c r="N24" s="72"/>
      <c r="O24" s="70"/>
      <c r="P24" s="69"/>
    </row>
    <row r="25" s="1" customFormat="1" ht="18" customHeight="1" spans="1:16">
      <c r="A25" s="34"/>
      <c r="B25" s="35">
        <f t="shared" si="3"/>
        <v>0</v>
      </c>
      <c r="C25" s="36"/>
      <c r="D25" s="37"/>
      <c r="E25" s="39"/>
      <c r="F25" s="35">
        <f t="shared" si="4"/>
        <v>0</v>
      </c>
      <c r="G25" s="27"/>
      <c r="H25" s="23" t="s">
        <v>44</v>
      </c>
      <c r="I25" s="12">
        <v>100</v>
      </c>
      <c r="J25" s="12"/>
      <c r="K25" s="68" t="s">
        <v>47</v>
      </c>
      <c r="L25" s="73" t="s">
        <v>48</v>
      </c>
      <c r="M25" s="70"/>
      <c r="N25" s="72"/>
      <c r="O25" s="70"/>
      <c r="P25" s="69"/>
    </row>
    <row r="26" s="1" customFormat="1" ht="18" customHeight="1" spans="1:16">
      <c r="A26" s="34"/>
      <c r="B26" s="35">
        <f t="shared" si="3"/>
        <v>3000</v>
      </c>
      <c r="C26" s="36"/>
      <c r="D26" s="37"/>
      <c r="E26" s="39"/>
      <c r="F26" s="35">
        <f t="shared" si="4"/>
        <v>0</v>
      </c>
      <c r="G26" s="27">
        <v>3000</v>
      </c>
      <c r="H26" s="23" t="s">
        <v>44</v>
      </c>
      <c r="I26" s="12">
        <v>3000</v>
      </c>
      <c r="J26" s="12"/>
      <c r="K26" s="68" t="s">
        <v>47</v>
      </c>
      <c r="L26" s="73" t="s">
        <v>49</v>
      </c>
      <c r="M26" s="70"/>
      <c r="N26" s="72"/>
      <c r="O26" s="70"/>
      <c r="P26" s="69"/>
    </row>
    <row r="27" s="1" customFormat="1" ht="18" customHeight="1" spans="1:16">
      <c r="A27" s="34"/>
      <c r="B27" s="35">
        <f t="shared" si="3"/>
        <v>0</v>
      </c>
      <c r="C27" s="36"/>
      <c r="D27" s="37"/>
      <c r="E27" s="39"/>
      <c r="F27" s="35">
        <f t="shared" si="4"/>
        <v>0</v>
      </c>
      <c r="G27" s="27"/>
      <c r="H27" s="23" t="s">
        <v>44</v>
      </c>
      <c r="I27" s="12">
        <v>1500</v>
      </c>
      <c r="J27" s="12"/>
      <c r="K27" s="68" t="s">
        <v>47</v>
      </c>
      <c r="L27" s="73" t="s">
        <v>50</v>
      </c>
      <c r="M27" s="70"/>
      <c r="N27" s="72"/>
      <c r="O27" s="70"/>
      <c r="P27" s="69"/>
    </row>
    <row r="28" s="1" customFormat="1" ht="18" customHeight="1" spans="1:16">
      <c r="A28" s="34"/>
      <c r="B28" s="35">
        <f t="shared" si="3"/>
        <v>0</v>
      </c>
      <c r="C28" s="36"/>
      <c r="D28" s="37"/>
      <c r="E28" s="39"/>
      <c r="F28" s="35">
        <f t="shared" si="4"/>
        <v>0</v>
      </c>
      <c r="G28" s="27"/>
      <c r="H28" s="23" t="s">
        <v>44</v>
      </c>
      <c r="I28" s="12">
        <v>82.57</v>
      </c>
      <c r="J28" s="12"/>
      <c r="K28" s="68" t="s">
        <v>47</v>
      </c>
      <c r="L28" s="73" t="s">
        <v>51</v>
      </c>
      <c r="M28" s="70"/>
      <c r="N28" s="72"/>
      <c r="O28" s="70"/>
      <c r="P28" s="69"/>
    </row>
    <row r="29" s="1" customFormat="1" ht="18" customHeight="1" spans="1:16">
      <c r="A29" s="34"/>
      <c r="B29" s="35">
        <f t="shared" si="3"/>
        <v>0</v>
      </c>
      <c r="C29" s="36"/>
      <c r="D29" s="37"/>
      <c r="E29" s="39"/>
      <c r="F29" s="35">
        <f t="shared" si="4"/>
        <v>0</v>
      </c>
      <c r="G29" s="27"/>
      <c r="H29" s="23" t="s">
        <v>52</v>
      </c>
      <c r="I29" s="12">
        <v>100</v>
      </c>
      <c r="J29" s="12"/>
      <c r="K29" s="68" t="s">
        <v>47</v>
      </c>
      <c r="L29" s="73" t="s">
        <v>48</v>
      </c>
      <c r="M29" s="69"/>
      <c r="N29" s="72"/>
      <c r="O29" s="70"/>
      <c r="P29" s="69"/>
    </row>
    <row r="30" s="1" customFormat="1" ht="18" customHeight="1" spans="1:16">
      <c r="A30" s="34"/>
      <c r="B30" s="35">
        <f t="shared" si="3"/>
        <v>0</v>
      </c>
      <c r="C30" s="36"/>
      <c r="D30" s="37"/>
      <c r="E30" s="39"/>
      <c r="F30" s="35">
        <f t="shared" si="4"/>
        <v>0</v>
      </c>
      <c r="G30" s="27"/>
      <c r="H30" s="23" t="s">
        <v>52</v>
      </c>
      <c r="I30" s="12">
        <v>500</v>
      </c>
      <c r="J30" s="12"/>
      <c r="K30" s="68" t="s">
        <v>47</v>
      </c>
      <c r="L30" s="73" t="s">
        <v>53</v>
      </c>
      <c r="M30" s="69"/>
      <c r="N30" s="72"/>
      <c r="O30" s="70"/>
      <c r="P30" s="69"/>
    </row>
    <row r="31" s="1" customFormat="1" ht="18" customHeight="1" spans="1:16">
      <c r="A31" s="34"/>
      <c r="B31" s="35">
        <f t="shared" si="3"/>
        <v>0</v>
      </c>
      <c r="C31" s="36"/>
      <c r="D31" s="37"/>
      <c r="E31" s="39"/>
      <c r="F31" s="35">
        <f t="shared" si="4"/>
        <v>0</v>
      </c>
      <c r="G31" s="27"/>
      <c r="H31" s="23" t="s">
        <v>52</v>
      </c>
      <c r="I31" s="12">
        <v>4000</v>
      </c>
      <c r="J31" s="12"/>
      <c r="K31" s="68" t="s">
        <v>47</v>
      </c>
      <c r="L31" s="73" t="s">
        <v>50</v>
      </c>
      <c r="M31" s="69"/>
      <c r="N31" s="72"/>
      <c r="O31" s="70"/>
      <c r="P31" s="69"/>
    </row>
    <row r="32" s="1" customFormat="1" ht="18" customHeight="1" spans="1:16">
      <c r="A32" s="34"/>
      <c r="B32" s="35">
        <f t="shared" si="3"/>
        <v>0</v>
      </c>
      <c r="C32" s="36"/>
      <c r="D32" s="37"/>
      <c r="E32" s="39"/>
      <c r="F32" s="35">
        <f t="shared" si="4"/>
        <v>0</v>
      </c>
      <c r="G32" s="27"/>
      <c r="H32" s="23" t="s">
        <v>52</v>
      </c>
      <c r="I32" s="12">
        <v>220.18</v>
      </c>
      <c r="J32" s="12"/>
      <c r="K32" s="68" t="s">
        <v>47</v>
      </c>
      <c r="L32" s="73" t="s">
        <v>51</v>
      </c>
      <c r="M32" s="69"/>
      <c r="N32" s="72"/>
      <c r="O32" s="70"/>
      <c r="P32" s="69"/>
    </row>
    <row r="33" s="1" customFormat="1" ht="18" customHeight="1" spans="1:16">
      <c r="A33" s="34"/>
      <c r="B33" s="35">
        <f t="shared" si="3"/>
        <v>8000</v>
      </c>
      <c r="C33" s="36"/>
      <c r="D33" s="37"/>
      <c r="E33" s="39"/>
      <c r="F33" s="35">
        <f t="shared" si="4"/>
        <v>0</v>
      </c>
      <c r="G33" s="27">
        <v>8000</v>
      </c>
      <c r="H33" s="23" t="s">
        <v>52</v>
      </c>
      <c r="I33" s="12">
        <f>G7*0.02</f>
        <v>8000</v>
      </c>
      <c r="J33" s="12"/>
      <c r="K33" s="68" t="s">
        <v>47</v>
      </c>
      <c r="L33" s="73" t="s">
        <v>49</v>
      </c>
      <c r="M33" s="69"/>
      <c r="N33" s="72"/>
      <c r="O33" s="70"/>
      <c r="P33" s="69"/>
    </row>
    <row r="34" ht="18" customHeight="1" spans="1:16">
      <c r="A34" s="30" t="s">
        <v>23</v>
      </c>
      <c r="B34" s="29">
        <f>SUM(B15:B33)</f>
        <v>469715.6</v>
      </c>
      <c r="C34" s="30"/>
      <c r="D34" s="41"/>
      <c r="E34" s="41"/>
      <c r="F34" s="31">
        <f>SUM(F15:F33)</f>
        <v>41284.4</v>
      </c>
      <c r="G34" s="42">
        <f>SUM(G15:G33)</f>
        <v>511000</v>
      </c>
      <c r="H34" s="43"/>
      <c r="I34" s="30">
        <f>SUM(I15:I33)</f>
        <v>521174.767431193</v>
      </c>
      <c r="J34" s="74">
        <f>SUM(J15:J33)</f>
        <v>0</v>
      </c>
      <c r="K34" s="75"/>
      <c r="L34" s="41"/>
      <c r="M34" s="32"/>
      <c r="N34" s="76"/>
      <c r="O34" s="68"/>
      <c r="P34" s="32"/>
    </row>
    <row r="35" ht="18" customHeight="1" spans="1:15">
      <c r="A35" s="44" t="s">
        <v>54</v>
      </c>
      <c r="B35" s="44">
        <f>B12*0.96</f>
        <v>484403.66972477</v>
      </c>
      <c r="C35" s="44"/>
      <c r="D35" s="45"/>
      <c r="E35" s="45"/>
      <c r="F35" s="46"/>
      <c r="G35" s="44">
        <f>G12-G34</f>
        <v>39000</v>
      </c>
      <c r="H35" s="22" t="s">
        <v>55</v>
      </c>
      <c r="I35" s="30">
        <f>I12-I34+J34</f>
        <v>28825.2325688075</v>
      </c>
      <c r="J35" s="44"/>
      <c r="K35" s="6"/>
      <c r="L35" s="77"/>
      <c r="N35" s="78"/>
      <c r="O35" s="79"/>
    </row>
    <row r="36" ht="18" customHeight="1" spans="1:15">
      <c r="A36" s="44" t="s">
        <v>56</v>
      </c>
      <c r="B36" s="44">
        <f>B35-B34</f>
        <v>14688.06972477</v>
      </c>
      <c r="C36" s="44"/>
      <c r="D36" s="45"/>
      <c r="E36" s="45"/>
      <c r="F36" s="46"/>
      <c r="G36" s="46"/>
      <c r="H36" s="47"/>
      <c r="I36" s="46"/>
      <c r="J36" s="46"/>
      <c r="K36" s="6"/>
      <c r="L36" s="77"/>
      <c r="N36" s="78"/>
      <c r="O36" s="79"/>
    </row>
    <row r="37" ht="18" customHeight="1" spans="1:3">
      <c r="A37" s="2" t="s">
        <v>57</v>
      </c>
      <c r="C37" s="2"/>
    </row>
    <row r="38" ht="18" customHeight="1" spans="1:8">
      <c r="A38" s="22" t="s">
        <v>58</v>
      </c>
      <c r="B38" s="21" t="s">
        <v>59</v>
      </c>
      <c r="C38" s="32"/>
      <c r="D38" s="22" t="s">
        <v>58</v>
      </c>
      <c r="E38" s="20" t="s">
        <v>16</v>
      </c>
      <c r="F38" s="21" t="s">
        <v>59</v>
      </c>
      <c r="G38" s="48" t="s">
        <v>60</v>
      </c>
      <c r="H38" s="12" t="s">
        <v>61</v>
      </c>
    </row>
    <row r="39" ht="18" customHeight="1" spans="1:8">
      <c r="A39" s="32" t="s">
        <v>62</v>
      </c>
      <c r="B39" s="18">
        <f>(B35-B34)*0.25</f>
        <v>3672.01743119251</v>
      </c>
      <c r="C39" s="32"/>
      <c r="D39" s="28" t="s">
        <v>63</v>
      </c>
      <c r="E39" s="22" t="s">
        <v>64</v>
      </c>
      <c r="F39" s="49">
        <f>F12-F34</f>
        <v>-5963.2990825688</v>
      </c>
      <c r="G39" s="49">
        <f>F7-F15</f>
        <v>-7339.4466055046</v>
      </c>
      <c r="H39" s="31">
        <f>F12-F34</f>
        <v>-5963.2990825688</v>
      </c>
    </row>
    <row r="40" ht="18" customHeight="1" spans="1:8">
      <c r="A40" s="32" t="s">
        <v>65</v>
      </c>
      <c r="B40" s="50">
        <f>G12*0.0003</f>
        <v>165</v>
      </c>
      <c r="C40" s="32"/>
      <c r="D40" s="51" t="s">
        <v>66</v>
      </c>
      <c r="E40" s="14">
        <v>0.07</v>
      </c>
      <c r="F40" s="48">
        <f>F39*E40</f>
        <v>-417.430935779816</v>
      </c>
      <c r="G40" s="48">
        <f>G39*E40</f>
        <v>-513.761262385322</v>
      </c>
      <c r="H40" s="12">
        <f>H39*E40</f>
        <v>-417.430935779816</v>
      </c>
    </row>
    <row r="41" ht="18" customHeight="1" spans="1:8">
      <c r="A41" s="32" t="s">
        <v>51</v>
      </c>
      <c r="B41" s="50">
        <f>B7*0.0006</f>
        <v>220.183486238532</v>
      </c>
      <c r="C41" s="32"/>
      <c r="D41" s="51" t="s">
        <v>67</v>
      </c>
      <c r="E41" s="14">
        <v>0.03</v>
      </c>
      <c r="F41" s="48">
        <f>F39*E41</f>
        <v>-178.898972477064</v>
      </c>
      <c r="G41" s="48">
        <f>G39*E41</f>
        <v>-220.183398165138</v>
      </c>
      <c r="H41" s="12">
        <f>H39*E41</f>
        <v>-178.898972477064</v>
      </c>
    </row>
    <row r="42" ht="18" customHeight="1" spans="1:8">
      <c r="A42" s="32"/>
      <c r="B42" s="48"/>
      <c r="C42" s="32"/>
      <c r="D42" s="51" t="s">
        <v>68</v>
      </c>
      <c r="E42" s="14">
        <v>0.02</v>
      </c>
      <c r="F42" s="48">
        <f>F39*E42</f>
        <v>-119.265981651376</v>
      </c>
      <c r="G42" s="48">
        <f>G39*E42</f>
        <v>-146.788932110092</v>
      </c>
      <c r="H42" s="12">
        <f>H39*E42</f>
        <v>-119.265981651376</v>
      </c>
    </row>
    <row r="43" ht="18" customHeight="1" spans="1:8">
      <c r="A43" s="28" t="s">
        <v>69</v>
      </c>
      <c r="B43" s="52">
        <f>SUM(B39:B42)</f>
        <v>4057.20091743104</v>
      </c>
      <c r="C43" s="32"/>
      <c r="D43" s="33" t="s">
        <v>69</v>
      </c>
      <c r="E43" s="28"/>
      <c r="F43" s="49">
        <f>SUM(F39:F42)</f>
        <v>-6678.89497247705</v>
      </c>
      <c r="G43" s="49">
        <f>SUM(G39:G42)</f>
        <v>-8220.18019816515</v>
      </c>
      <c r="H43" s="31">
        <f>SUM(H39:H42)</f>
        <v>-6678.89497247705</v>
      </c>
    </row>
    <row r="44" ht="18" customHeight="1" spans="3:8">
      <c r="C44" s="2"/>
      <c r="D44" s="12" t="s">
        <v>65</v>
      </c>
      <c r="E44" s="53">
        <v>0.0003</v>
      </c>
      <c r="F44" s="48">
        <f>G12*E44</f>
        <v>165</v>
      </c>
      <c r="G44" s="48">
        <v>0</v>
      </c>
      <c r="H44" s="12">
        <v>0</v>
      </c>
    </row>
    <row r="45" ht="18" customHeight="1" spans="3:8">
      <c r="C45" s="2"/>
      <c r="D45" s="12" t="s">
        <v>51</v>
      </c>
      <c r="E45" s="53">
        <v>0.0006</v>
      </c>
      <c r="F45" s="48">
        <f>B39</f>
        <v>3672.01743119251</v>
      </c>
      <c r="G45" s="48">
        <f>B7*0.0006</f>
        <v>220.183486238532</v>
      </c>
      <c r="H45" s="12">
        <f>B8*E45</f>
        <v>82.5688073394495</v>
      </c>
    </row>
    <row r="46" ht="18" customHeight="1" spans="3:8">
      <c r="C46" s="2"/>
      <c r="D46" s="20" t="s">
        <v>69</v>
      </c>
      <c r="E46" s="41"/>
      <c r="F46" s="54">
        <f>F45+F44</f>
        <v>3837.01743119251</v>
      </c>
      <c r="G46" s="54">
        <f>G44+G45</f>
        <v>220.183486238532</v>
      </c>
      <c r="H46" s="30">
        <f>SUM(H44:H45)</f>
        <v>82.5688073394495</v>
      </c>
    </row>
    <row r="47" ht="18" customHeight="1" spans="3:8">
      <c r="C47" s="2"/>
      <c r="D47" s="20" t="s">
        <v>23</v>
      </c>
      <c r="E47" s="30"/>
      <c r="F47" s="54">
        <f>F43+F46</f>
        <v>-2841.87754128454</v>
      </c>
      <c r="G47" s="54">
        <f>G43+G46</f>
        <v>-7999.99671192662</v>
      </c>
      <c r="H47" s="30">
        <f>H43+H46</f>
        <v>-6596.3261651376</v>
      </c>
    </row>
    <row r="48" ht="18" customHeight="1" spans="3:8">
      <c r="C48" s="2"/>
      <c r="D48" s="30" t="s">
        <v>62</v>
      </c>
      <c r="E48" s="55">
        <v>0.01</v>
      </c>
      <c r="F48" s="54">
        <f>G12*E48</f>
        <v>5500</v>
      </c>
      <c r="G48" s="56">
        <f>G7*E48</f>
        <v>4000</v>
      </c>
      <c r="H48" s="30">
        <f>G8*E48</f>
        <v>1500</v>
      </c>
    </row>
    <row r="49" ht="18" customHeight="1" spans="3:5">
      <c r="C49" s="2"/>
      <c r="E49" s="4" t="s">
        <v>70</v>
      </c>
    </row>
    <row r="50" ht="18" customHeight="1" spans="3:3">
      <c r="C50" s="2"/>
    </row>
    <row r="51" ht="18" customHeight="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</sheetData>
  <autoFilter ref="A14:P49">
    <extLst/>
  </autoFilter>
  <mergeCells count="13">
    <mergeCell ref="A1:K1"/>
    <mergeCell ref="H2:K2"/>
    <mergeCell ref="C5:D5"/>
    <mergeCell ref="E5:F5"/>
    <mergeCell ref="H5:K5"/>
    <mergeCell ref="J6:K6"/>
    <mergeCell ref="J7:K7"/>
    <mergeCell ref="J8:K8"/>
    <mergeCell ref="J9:K9"/>
    <mergeCell ref="J12:K12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2021-09-02T02:13:19Z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3FE252E0465A4D468DFC659E80EAF4BC</vt:lpwstr>
  </property>
</Properties>
</file>