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2" r:id="rId1"/>
    <sheet name="旧" sheetId="1" r:id="rId2"/>
  </sheets>
  <definedNames>
    <definedName name="_xlnm._FilterDatabase" localSheetId="0" hidden="1">新!$A$13:$O$71</definedName>
    <definedName name="_xlnm._FilterDatabase" localSheetId="1" hidden="1">旧!$A$13:$R$67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6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印花税异地已预缴614.8</t>
        </r>
      </text>
    </comment>
    <comment ref="K7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6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</commentList>
</comments>
</file>

<file path=xl/sharedStrings.xml><?xml version="1.0" encoding="utf-8"?>
<sst xmlns="http://schemas.openxmlformats.org/spreadsheetml/2006/main" count="418" uniqueCount="102">
  <si>
    <t>C11902 云南省曲靖市罗平县板羊公路大中修工程及新师线大中修工程</t>
  </si>
  <si>
    <t>中标日期</t>
  </si>
  <si>
    <t>中标价</t>
  </si>
  <si>
    <t>负责人</t>
  </si>
  <si>
    <t>段友志</t>
  </si>
  <si>
    <t>建设单位</t>
  </si>
  <si>
    <t>决算日期</t>
  </si>
  <si>
    <t>决算价</t>
  </si>
  <si>
    <t>销售开票：</t>
  </si>
  <si>
    <t xml:space="preserve"> 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</si>
  <si>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</si>
  <si>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</si>
  <si>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</si>
  <si>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</si>
  <si>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</si>
  <si>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</si>
  <si>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</si>
  <si>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</si>
  <si>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</si>
  <si>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</si>
  <si>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</si>
  <si>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</si>
  <si>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</si>
  <si>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</si>
  <si>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</si>
  <si>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</si>
  <si>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</si>
  <si>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</si>
  <si>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</si>
  <si>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</si>
  <si>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</si>
  <si>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</si>
  <si>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</si>
  <si>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</si>
  <si>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</si>
  <si>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</si>
  <si>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</si>
  <si>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罗平县九龙水泥有限责任公司</t>
  </si>
  <si>
    <t>水泥</t>
  </si>
  <si>
    <t>2020-316#</t>
  </si>
  <si>
    <t>少货单</t>
  </si>
  <si>
    <t>云南徽乐建设有限公司</t>
  </si>
  <si>
    <t>农民工工资</t>
  </si>
  <si>
    <t>2020-381#</t>
  </si>
  <si>
    <t>富源县十八连山镇农机加油站</t>
  </si>
  <si>
    <t>智宏借款</t>
  </si>
  <si>
    <t>曲靖正和建筑工程有限公司</t>
  </si>
  <si>
    <t>2020-806#  3245000元</t>
  </si>
  <si>
    <t>借款280w</t>
  </si>
  <si>
    <t>专业分包</t>
  </si>
  <si>
    <t>柴油</t>
  </si>
  <si>
    <t>2020-635#  144900元</t>
  </si>
  <si>
    <t>2020-381#   3191117.38元</t>
  </si>
  <si>
    <t>云南恒久装饰工程有限公司</t>
  </si>
  <si>
    <t>砂石</t>
  </si>
  <si>
    <t>10份</t>
  </si>
  <si>
    <t>砂石31280吨、黄沙</t>
  </si>
  <si>
    <t>2021-091#-1167720</t>
  </si>
  <si>
    <t>4次</t>
  </si>
  <si>
    <t>扣</t>
  </si>
  <si>
    <t>管理费</t>
  </si>
  <si>
    <t>手续费</t>
  </si>
  <si>
    <t>3次</t>
  </si>
  <si>
    <t>退</t>
  </si>
  <si>
    <t>企税（成本不够，暂扣）2021.1月</t>
  </si>
  <si>
    <t>2021.1月未开票暂扣企税1%</t>
  </si>
  <si>
    <t>2021.1月未开票暂扣</t>
  </si>
  <si>
    <t>暂扣</t>
  </si>
  <si>
    <t>150万借款利息（12-26日-1-26日）</t>
  </si>
  <si>
    <t>2021.1月未开票暂扣企税</t>
  </si>
  <si>
    <t>2次</t>
  </si>
  <si>
    <t>前期暂扣部分企税</t>
  </si>
  <si>
    <t>企税</t>
  </si>
  <si>
    <t>水利基金</t>
  </si>
  <si>
    <t>企税1%</t>
  </si>
  <si>
    <t>1次</t>
  </si>
  <si>
    <t>之前暂扣企税</t>
  </si>
  <si>
    <t>企税（成本不够，暂扣）</t>
  </si>
  <si>
    <t>2020-5-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</si>
  <si>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</si>
  <si>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</si>
  <si>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</si>
  <si>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</si>
  <si>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</si>
  <si>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</si>
  <si>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</si>
  <si>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20.5月开票扣税</t>
  </si>
  <si>
    <t>20.9月开票扣税</t>
  </si>
  <si>
    <t>2021.1未开票扣款</t>
  </si>
  <si>
    <t>2021年4月开票税金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</si>
  <si>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</si>
  <si>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</si>
  <si>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</si>
  <si>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</si>
  <si>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</si>
  <si>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</si>
  <si>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</si>
  <si>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</si>
  <si>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</si>
  <si>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暂扣企税</t>
  </si>
  <si>
    <t>云南省曲靖市罗平县板羊公路大中修工程及新师线大中修工程</t>
  </si>
  <si>
    <t>未开票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</si>
</sst>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  <numFmt numFmtId="181" formatCode="#,##0.00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9"/>
      <color theme="3" tint="0.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9" fontId="7" fillId="0" borderId="2" xfId="11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9" fontId="7" fillId="0" borderId="2" xfId="11" applyNumberFormat="1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11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177" fontId="6" fillId="4" borderId="3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vertical="center"/>
    </xf>
    <xf numFmtId="0" fontId="6" fillId="0" borderId="4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178" fontId="7" fillId="2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7" fontId="2" fillId="4" borderId="3" xfId="0" applyNumberFormat="1" applyFont="1" applyFill="1" applyBorder="1" applyAlignment="1">
      <alignment vertical="center"/>
    </xf>
    <xf numFmtId="178" fontId="2" fillId="4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10" fontId="2" fillId="4" borderId="0" xfId="0" applyNumberFormat="1" applyFont="1" applyFill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0" fontId="6" fillId="4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38100</xdr:colOff>
      <xdr:row>3</xdr:row>
      <xdr:rowOff>0</xdr:rowOff>
    </xdr:from>
    <xdr:to>
      <xdr:col>10</xdr:col>
      <xdr:colOff>367665</xdr:colOff>
      <xdr:row>5</xdr:row>
      <xdr:rowOff>9525</xdr:rowOff>
    </xdr:to>
    <xdr:pic>
      <xdr:nvPicPr>
        <xdr:cNvPr id="2" name="图片 1" descr="新文档 05-08-2020 08.58.06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4825" y="735965"/>
          <a:ext cx="329565" cy="46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313690</xdr:colOff>
      <xdr:row>2</xdr:row>
      <xdr:rowOff>191770</xdr:rowOff>
    </xdr:from>
    <xdr:to>
      <xdr:col>10</xdr:col>
      <xdr:colOff>666750</xdr:colOff>
      <xdr:row>5</xdr:row>
      <xdr:rowOff>33655</xdr:rowOff>
    </xdr:to>
    <xdr:pic>
      <xdr:nvPicPr>
        <xdr:cNvPr id="3" name="图片 2" descr="新文档 05-08-2020 08.58.06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00415" y="699135"/>
          <a:ext cx="353060" cy="5276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2057400</xdr:colOff>
      <xdr:row>1</xdr:row>
      <xdr:rowOff>161925</xdr:rowOff>
    </xdr:from>
    <xdr:to>
      <xdr:col>11</xdr:col>
      <xdr:colOff>410845</xdr:colOff>
      <xdr:row>4</xdr:row>
      <xdr:rowOff>44450</xdr:rowOff>
    </xdr:to>
    <xdr:pic>
      <xdr:nvPicPr>
        <xdr:cNvPr id="4" name="图片 3" descr="cf6d1f4df416a58d95ce24f2f9ca4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44125" y="440690"/>
          <a:ext cx="753745" cy="568325"/>
        </a:xfrm>
        <a:prstGeom prst="rect">
          <a:avLst/>
        </a:prstGeom>
      </xdr:spPr>
    </xdr:pic>
    <xdr:clientData/>
  </xdr:twoCellAnchor>
  <xdr:twoCellAnchor editAs="oneCell">
    <xdr:from>
      <xdr:col>11</xdr:col>
      <xdr:colOff>657225</xdr:colOff>
      <xdr:row>0</xdr:row>
      <xdr:rowOff>180975</xdr:rowOff>
    </xdr:from>
    <xdr:to>
      <xdr:col>12</xdr:col>
      <xdr:colOff>361950</xdr:colOff>
      <xdr:row>5</xdr:row>
      <xdr:rowOff>131445</xdr:rowOff>
    </xdr:to>
    <xdr:pic>
      <xdr:nvPicPr>
        <xdr:cNvPr id="5" name="图片 4" descr="}T~6[IL{CWE~2F_M1[$[E3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44250" y="180975"/>
          <a:ext cx="1047750" cy="114363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16</xdr:row>
      <xdr:rowOff>38100</xdr:rowOff>
    </xdr:from>
    <xdr:to>
      <xdr:col>14</xdr:col>
      <xdr:colOff>539750</xdr:colOff>
      <xdr:row>16</xdr:row>
      <xdr:rowOff>125095</xdr:rowOff>
    </xdr:to>
    <xdr:pic>
      <xdr:nvPicPr>
        <xdr:cNvPr id="6" name="图片 5" descr="4)4MG_4D)K(GWOG~Y[X@(S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06525" y="3745865"/>
          <a:ext cx="434975" cy="8699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16</xdr:row>
      <xdr:rowOff>66675</xdr:rowOff>
    </xdr:from>
    <xdr:to>
      <xdr:col>15</xdr:col>
      <xdr:colOff>459740</xdr:colOff>
      <xdr:row>16</xdr:row>
      <xdr:rowOff>142875</xdr:rowOff>
    </xdr:to>
    <xdr:pic>
      <xdr:nvPicPr>
        <xdr:cNvPr id="7" name="图片 6" descr="~QA3LFJPRM[4TB@N(%}70N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49475" y="3774440"/>
          <a:ext cx="297815" cy="7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</xdr:colOff>
      <xdr:row>3</xdr:row>
      <xdr:rowOff>9525</xdr:rowOff>
    </xdr:from>
    <xdr:to>
      <xdr:col>10</xdr:col>
      <xdr:colOff>339090</xdr:colOff>
      <xdr:row>5</xdr:row>
      <xdr:rowOff>19050</xdr:rowOff>
    </xdr:to>
    <xdr:pic>
      <xdr:nvPicPr>
        <xdr:cNvPr id="3" name="图片 2" descr="新文档 05-08-2020 08.58.06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0" y="745490"/>
          <a:ext cx="329565" cy="46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313690</xdr:colOff>
      <xdr:row>2</xdr:row>
      <xdr:rowOff>191770</xdr:rowOff>
    </xdr:from>
    <xdr:to>
      <xdr:col>10</xdr:col>
      <xdr:colOff>666750</xdr:colOff>
      <xdr:row>5</xdr:row>
      <xdr:rowOff>33655</xdr:rowOff>
    </xdr:to>
    <xdr:pic>
      <xdr:nvPicPr>
        <xdr:cNvPr id="4" name="图片 3" descr="新文档 05-08-2020 08.58.06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00415" y="699135"/>
          <a:ext cx="353060" cy="5276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2057400</xdr:colOff>
      <xdr:row>1</xdr:row>
      <xdr:rowOff>161925</xdr:rowOff>
    </xdr:from>
    <xdr:to>
      <xdr:col>11</xdr:col>
      <xdr:colOff>410845</xdr:colOff>
      <xdr:row>4</xdr:row>
      <xdr:rowOff>44450</xdr:rowOff>
    </xdr:to>
    <xdr:pic>
      <xdr:nvPicPr>
        <xdr:cNvPr id="5" name="图片 4" descr="cf6d1f4df416a58d95ce24f2f9ca4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44125" y="440690"/>
          <a:ext cx="753745" cy="568325"/>
        </a:xfrm>
        <a:prstGeom prst="rect">
          <a:avLst/>
        </a:prstGeom>
      </xdr:spPr>
    </xdr:pic>
    <xdr:clientData/>
  </xdr:twoCellAnchor>
  <xdr:twoCellAnchor editAs="oneCell">
    <xdr:from>
      <xdr:col>11</xdr:col>
      <xdr:colOff>657225</xdr:colOff>
      <xdr:row>0</xdr:row>
      <xdr:rowOff>180975</xdr:rowOff>
    </xdr:from>
    <xdr:to>
      <xdr:col>13</xdr:col>
      <xdr:colOff>276225</xdr:colOff>
      <xdr:row>5</xdr:row>
      <xdr:rowOff>131445</xdr:rowOff>
    </xdr:to>
    <xdr:pic>
      <xdr:nvPicPr>
        <xdr:cNvPr id="6" name="图片 5" descr="}T~6[IL{CWE~2F_M1[$[E3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44250" y="180975"/>
          <a:ext cx="1047750" cy="114363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16</xdr:row>
      <xdr:rowOff>38100</xdr:rowOff>
    </xdr:from>
    <xdr:to>
      <xdr:col>14</xdr:col>
      <xdr:colOff>539750</xdr:colOff>
      <xdr:row>16</xdr:row>
      <xdr:rowOff>125095</xdr:rowOff>
    </xdr:to>
    <xdr:pic>
      <xdr:nvPicPr>
        <xdr:cNvPr id="2" name="图片 1" descr="4)4MG_4D)K(GWOG~Y[X@(S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49175" y="3745865"/>
          <a:ext cx="434975" cy="8699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16</xdr:row>
      <xdr:rowOff>66675</xdr:rowOff>
    </xdr:from>
    <xdr:to>
      <xdr:col>15</xdr:col>
      <xdr:colOff>459740</xdr:colOff>
      <xdr:row>16</xdr:row>
      <xdr:rowOff>142875</xdr:rowOff>
    </xdr:to>
    <xdr:pic>
      <xdr:nvPicPr>
        <xdr:cNvPr id="7" name="图片 6" descr="~QA3LFJPRM[4TB@N(%}70N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92125" y="3774440"/>
          <a:ext cx="297815" cy="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tabSelected="1" workbookViewId="0">
      <selection activeCell="A1" sqref="A1:J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7.625" style="6" customWidth="1"/>
    <col min="13" max="13" width="22.875" style="6" customWidth="1"/>
    <col min="14" max="14" width="5.625" style="6" customWidth="1"/>
    <col min="15" max="15" width="9" style="6"/>
    <col min="16" max="16" width="9.625" style="6"/>
    <col min="17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43768</v>
      </c>
      <c r="C2" s="11" t="s">
        <v>2</v>
      </c>
      <c r="D2" s="12">
        <v>10841736</v>
      </c>
      <c r="E2" s="13" t="s">
        <v>3</v>
      </c>
      <c r="F2" s="14" t="s">
        <v>4</v>
      </c>
      <c r="G2" s="15" t="s">
        <v>5</v>
      </c>
      <c r="H2" s="16"/>
      <c r="I2" s="70"/>
      <c r="J2" s="71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/>
      <c r="H3" s="18"/>
      <c r="I3" s="72"/>
      <c r="J3" s="18"/>
      <c r="K3" s="18"/>
      <c r="L3" s="18"/>
    </row>
    <row r="4" ht="18" customHeight="1" spans="1:13">
      <c r="A4" s="2" t="s">
        <v>8</v>
      </c>
      <c r="H4" s="18"/>
      <c r="I4" s="72"/>
      <c r="J4" s="18"/>
      <c r="K4" s="18"/>
      <c r="L4" s="18"/>
      <c r="M4" s="6" t="s">
        <v>9</v>
      </c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2">
      <c r="A7" s="22">
        <v>43960</v>
      </c>
      <c r="B7" s="11">
        <f t="shared" ref="B7:B10" si="0">G7/(1+C7+E7)</f>
        <v>917431.19266055</v>
      </c>
      <c r="C7" s="24">
        <v>0.02</v>
      </c>
      <c r="D7" s="89">
        <f t="shared" ref="D7:D10" si="1">G7/(1+E7+C7)*C7</f>
        <v>18348.623853211</v>
      </c>
      <c r="E7" s="26">
        <v>0.07</v>
      </c>
      <c r="F7" s="11">
        <f t="shared" ref="F7:F10" si="2">G7/(1+C7+E7)*E7</f>
        <v>64220.1834862385</v>
      </c>
      <c r="G7" s="90">
        <v>1000000</v>
      </c>
      <c r="H7" s="22">
        <v>43966</v>
      </c>
      <c r="I7" s="11">
        <v>1000000</v>
      </c>
      <c r="J7" s="73" t="s">
        <v>21</v>
      </c>
      <c r="L7" s="6">
        <f>I7*0.02</f>
        <v>20000</v>
      </c>
    </row>
    <row r="8" ht="18" customHeight="1" spans="1:10">
      <c r="A8" s="22">
        <v>44075</v>
      </c>
      <c r="B8" s="11">
        <f t="shared" si="0"/>
        <v>990825.688073394</v>
      </c>
      <c r="C8" s="24">
        <v>0.02</v>
      </c>
      <c r="D8" s="89">
        <f t="shared" si="1"/>
        <v>19816.5137614679</v>
      </c>
      <c r="E8" s="26">
        <v>0.07</v>
      </c>
      <c r="F8" s="11">
        <f t="shared" si="2"/>
        <v>69357.7981651376</v>
      </c>
      <c r="G8" s="90">
        <v>1080000</v>
      </c>
      <c r="H8" s="22">
        <v>44081</v>
      </c>
      <c r="I8" s="11">
        <v>1080000</v>
      </c>
      <c r="J8" s="73" t="s">
        <v>21</v>
      </c>
    </row>
    <row r="9" ht="18" customHeight="1" spans="1:10">
      <c r="A9" s="22">
        <v>44295</v>
      </c>
      <c r="B9" s="11">
        <f t="shared" si="0"/>
        <v>1880091.74311927</v>
      </c>
      <c r="C9" s="24">
        <v>0.02</v>
      </c>
      <c r="D9" s="89">
        <f t="shared" si="1"/>
        <v>37601.8348623853</v>
      </c>
      <c r="E9" s="26">
        <v>0.07</v>
      </c>
      <c r="F9" s="11">
        <f t="shared" si="2"/>
        <v>131606.422018349</v>
      </c>
      <c r="G9" s="91">
        <v>2049300</v>
      </c>
      <c r="H9" s="22">
        <v>44223</v>
      </c>
      <c r="I9" s="11">
        <v>1000000</v>
      </c>
      <c r="J9" s="73" t="s">
        <v>21</v>
      </c>
    </row>
    <row r="10" ht="18" customHeight="1" spans="1:10">
      <c r="A10" s="22"/>
      <c r="B10" s="11">
        <f t="shared" si="0"/>
        <v>0</v>
      </c>
      <c r="C10" s="24">
        <v>0.02</v>
      </c>
      <c r="D10" s="89">
        <f t="shared" si="1"/>
        <v>0</v>
      </c>
      <c r="E10" s="26">
        <v>0.07</v>
      </c>
      <c r="F10" s="11">
        <f t="shared" si="2"/>
        <v>0</v>
      </c>
      <c r="G10" s="91"/>
      <c r="H10" s="22">
        <v>44232</v>
      </c>
      <c r="I10" s="11">
        <f>500000+549300</f>
        <v>1049300</v>
      </c>
      <c r="J10" s="73" t="s">
        <v>21</v>
      </c>
    </row>
    <row r="11" ht="18" customHeight="1" spans="1:10">
      <c r="A11" s="33" t="s">
        <v>22</v>
      </c>
      <c r="B11" s="92">
        <f t="shared" ref="B11:G11" si="3">SUM(B7:B10)</f>
        <v>3788348.62385321</v>
      </c>
      <c r="C11" s="35"/>
      <c r="D11" s="35">
        <f t="shared" si="3"/>
        <v>75766.9724770642</v>
      </c>
      <c r="E11" s="35"/>
      <c r="F11" s="93">
        <f t="shared" si="3"/>
        <v>265184.403669725</v>
      </c>
      <c r="G11" s="35">
        <f t="shared" si="3"/>
        <v>4129300</v>
      </c>
      <c r="H11" s="38"/>
      <c r="I11" s="35">
        <f>SUM(I7:I10)</f>
        <v>4129300</v>
      </c>
      <c r="J11" s="38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9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4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40">
        <v>43971</v>
      </c>
      <c r="B14" s="94">
        <f t="shared" ref="B14:B27" si="4">ROUND(G14/(1+E14),2)</f>
        <v>585398.23</v>
      </c>
      <c r="C14" s="41">
        <v>1</v>
      </c>
      <c r="D14" s="42" t="s">
        <v>36</v>
      </c>
      <c r="E14" s="43">
        <v>0.13</v>
      </c>
      <c r="F14" s="94">
        <f t="shared" ref="F14:F27" si="5">ROUND(G14/(1+E14)*E14,2)</f>
        <v>76101.77</v>
      </c>
      <c r="G14" s="95">
        <v>661500</v>
      </c>
      <c r="H14" s="44">
        <v>43972</v>
      </c>
      <c r="I14" s="97">
        <v>661500</v>
      </c>
      <c r="J14" s="75" t="s">
        <v>21</v>
      </c>
      <c r="K14" s="76" t="s">
        <v>37</v>
      </c>
      <c r="L14" s="77" t="s">
        <v>38</v>
      </c>
      <c r="M14" s="75" t="s">
        <v>39</v>
      </c>
      <c r="N14" s="75"/>
      <c r="O14" s="79" t="s">
        <v>40</v>
      </c>
    </row>
    <row r="15" s="1" customFormat="1" ht="18" customHeight="1" spans="1:15">
      <c r="A15" s="45">
        <v>44002</v>
      </c>
      <c r="B15" s="96">
        <f t="shared" si="4"/>
        <v>291262.14</v>
      </c>
      <c r="C15" s="47">
        <v>3</v>
      </c>
      <c r="D15" s="48" t="s">
        <v>36</v>
      </c>
      <c r="E15" s="49">
        <v>0.03</v>
      </c>
      <c r="F15" s="96">
        <f t="shared" si="5"/>
        <v>8737.86</v>
      </c>
      <c r="G15" s="90">
        <v>300000</v>
      </c>
      <c r="H15" s="44">
        <v>44010</v>
      </c>
      <c r="I15" s="97">
        <v>200000</v>
      </c>
      <c r="J15" s="75" t="s">
        <v>21</v>
      </c>
      <c r="K15" s="76" t="s">
        <v>41</v>
      </c>
      <c r="L15" s="77" t="s">
        <v>42</v>
      </c>
      <c r="M15" s="75" t="s">
        <v>43</v>
      </c>
      <c r="N15" s="75"/>
      <c r="O15" s="79"/>
    </row>
    <row r="16" s="1" customFormat="1" ht="18" customHeight="1" spans="1:15">
      <c r="A16" s="45">
        <v>44094</v>
      </c>
      <c r="B16" s="96">
        <f t="shared" si="4"/>
        <v>844660.19</v>
      </c>
      <c r="C16" s="47">
        <v>9</v>
      </c>
      <c r="D16" s="48" t="s">
        <v>36</v>
      </c>
      <c r="E16" s="49">
        <v>0.03</v>
      </c>
      <c r="F16" s="96">
        <f t="shared" si="5"/>
        <v>25339.81</v>
      </c>
      <c r="G16" s="90">
        <f>100000+100000+100000+100000+100000+100000+100000+100000+70000</f>
        <v>870000</v>
      </c>
      <c r="H16" s="50">
        <v>44090</v>
      </c>
      <c r="I16" s="97">
        <v>500000</v>
      </c>
      <c r="J16" s="75" t="s">
        <v>21</v>
      </c>
      <c r="K16" s="76" t="s">
        <v>41</v>
      </c>
      <c r="L16" s="77" t="s">
        <v>42</v>
      </c>
      <c r="M16" s="75" t="s">
        <v>43</v>
      </c>
      <c r="N16" s="75"/>
      <c r="O16" s="77"/>
    </row>
    <row r="17" s="1" customFormat="1" ht="18" customHeight="1" spans="1:15">
      <c r="A17" s="45"/>
      <c r="B17" s="97">
        <f t="shared" si="4"/>
        <v>0</v>
      </c>
      <c r="C17" s="47"/>
      <c r="D17" s="48"/>
      <c r="E17" s="51"/>
      <c r="F17" s="96">
        <f t="shared" si="5"/>
        <v>0</v>
      </c>
      <c r="G17" s="90"/>
      <c r="H17" s="50">
        <v>44102</v>
      </c>
      <c r="I17" s="97">
        <v>370000</v>
      </c>
      <c r="J17" s="75" t="s">
        <v>21</v>
      </c>
      <c r="K17" s="76" t="s">
        <v>41</v>
      </c>
      <c r="L17" s="77" t="s">
        <v>42</v>
      </c>
      <c r="M17" s="75" t="s">
        <v>43</v>
      </c>
      <c r="N17" s="75"/>
      <c r="O17" s="77"/>
    </row>
    <row r="18" s="1" customFormat="1" ht="18" customHeight="1" spans="1:15">
      <c r="A18" s="45"/>
      <c r="B18" s="97">
        <f t="shared" si="4"/>
        <v>0</v>
      </c>
      <c r="C18" s="47"/>
      <c r="D18" s="48"/>
      <c r="E18" s="51"/>
      <c r="F18" s="96">
        <f t="shared" si="5"/>
        <v>0</v>
      </c>
      <c r="G18" s="90"/>
      <c r="H18" s="52">
        <v>44138</v>
      </c>
      <c r="I18" s="97">
        <v>144900</v>
      </c>
      <c r="J18" s="75" t="s">
        <v>21</v>
      </c>
      <c r="K18" s="76" t="s">
        <v>44</v>
      </c>
      <c r="L18" s="77"/>
      <c r="M18" s="75"/>
      <c r="N18" s="75"/>
      <c r="O18" s="77"/>
    </row>
    <row r="19" s="1" customFormat="1" ht="18" customHeight="1" spans="1:15">
      <c r="A19" s="45"/>
      <c r="B19" s="97">
        <f t="shared" si="4"/>
        <v>0</v>
      </c>
      <c r="C19" s="47"/>
      <c r="D19" s="48"/>
      <c r="E19" s="51"/>
      <c r="F19" s="96">
        <f t="shared" si="5"/>
        <v>0</v>
      </c>
      <c r="G19" s="90"/>
      <c r="H19" s="52">
        <v>43855</v>
      </c>
      <c r="I19" s="97">
        <v>-1500000</v>
      </c>
      <c r="J19" s="75" t="s">
        <v>21</v>
      </c>
      <c r="K19" s="76" t="s">
        <v>45</v>
      </c>
      <c r="L19" s="77"/>
      <c r="M19" s="75"/>
      <c r="N19" s="75"/>
      <c r="O19" s="77"/>
    </row>
    <row r="20" s="1" customFormat="1" ht="18" customHeight="1" spans="1:15">
      <c r="A20" s="45"/>
      <c r="B20" s="97">
        <f t="shared" si="4"/>
        <v>0</v>
      </c>
      <c r="C20" s="47"/>
      <c r="D20" s="48"/>
      <c r="E20" s="51"/>
      <c r="F20" s="96">
        <f t="shared" si="5"/>
        <v>0</v>
      </c>
      <c r="G20" s="90"/>
      <c r="H20" s="52">
        <v>44190</v>
      </c>
      <c r="I20" s="97">
        <v>1500000</v>
      </c>
      <c r="J20" s="75" t="s">
        <v>21</v>
      </c>
      <c r="K20" s="76" t="s">
        <v>46</v>
      </c>
      <c r="L20" s="77"/>
      <c r="M20" s="75" t="s">
        <v>47</v>
      </c>
      <c r="N20" s="75"/>
      <c r="O20" s="77"/>
    </row>
    <row r="21" s="1" customFormat="1" ht="18" customHeight="1" spans="1:15">
      <c r="A21" s="45"/>
      <c r="B21" s="97">
        <f t="shared" si="4"/>
        <v>0</v>
      </c>
      <c r="C21" s="47"/>
      <c r="D21" s="48"/>
      <c r="E21" s="51"/>
      <c r="F21" s="96">
        <f t="shared" si="5"/>
        <v>0</v>
      </c>
      <c r="G21" s="90"/>
      <c r="H21" s="52">
        <v>44220</v>
      </c>
      <c r="I21" s="97">
        <v>-300000</v>
      </c>
      <c r="J21" s="75" t="s">
        <v>21</v>
      </c>
      <c r="K21" s="76" t="s">
        <v>45</v>
      </c>
      <c r="L21" s="77"/>
      <c r="M21" s="75"/>
      <c r="N21" s="75"/>
      <c r="O21" s="77" t="s">
        <v>48</v>
      </c>
    </row>
    <row r="22" s="1" customFormat="1" ht="18" customHeight="1" spans="1:15">
      <c r="A22" s="45">
        <v>44228</v>
      </c>
      <c r="B22" s="97">
        <f t="shared" si="4"/>
        <v>2568807.34</v>
      </c>
      <c r="C22" s="47">
        <v>3</v>
      </c>
      <c r="D22" s="48" t="s">
        <v>36</v>
      </c>
      <c r="E22" s="49">
        <v>0.09</v>
      </c>
      <c r="F22" s="96">
        <f t="shared" si="5"/>
        <v>231192.66</v>
      </c>
      <c r="G22" s="90">
        <f>2000000+800000</f>
        <v>2800000</v>
      </c>
      <c r="H22" s="52">
        <v>44222</v>
      </c>
      <c r="I22" s="97">
        <v>300000</v>
      </c>
      <c r="J22" s="75" t="s">
        <v>21</v>
      </c>
      <c r="K22" s="76" t="s">
        <v>46</v>
      </c>
      <c r="L22" s="77" t="s">
        <v>49</v>
      </c>
      <c r="M22" s="75" t="s">
        <v>47</v>
      </c>
      <c r="N22" s="75"/>
      <c r="O22" s="77"/>
    </row>
    <row r="23" s="1" customFormat="1" ht="18" customHeight="1" spans="1:15">
      <c r="A23" s="45">
        <v>44228</v>
      </c>
      <c r="B23" s="97">
        <f t="shared" si="4"/>
        <v>128230.09</v>
      </c>
      <c r="C23" s="47">
        <v>2</v>
      </c>
      <c r="D23" s="48" t="s">
        <v>36</v>
      </c>
      <c r="E23" s="49">
        <v>0.13</v>
      </c>
      <c r="F23" s="96">
        <f t="shared" si="5"/>
        <v>16669.91</v>
      </c>
      <c r="G23" s="90">
        <f>54900+90000</f>
        <v>144900</v>
      </c>
      <c r="H23" s="52"/>
      <c r="I23" s="97"/>
      <c r="J23" s="75"/>
      <c r="K23" s="76" t="s">
        <v>44</v>
      </c>
      <c r="L23" s="77" t="s">
        <v>50</v>
      </c>
      <c r="M23" s="101" t="s">
        <v>51</v>
      </c>
      <c r="N23" s="75"/>
      <c r="O23" s="77"/>
    </row>
    <row r="24" s="1" customFormat="1" ht="18" customHeight="1" spans="1:15">
      <c r="A24" s="45"/>
      <c r="B24" s="97">
        <f t="shared" si="4"/>
        <v>0</v>
      </c>
      <c r="C24" s="47"/>
      <c r="D24" s="48"/>
      <c r="E24" s="51"/>
      <c r="F24" s="96">
        <f t="shared" si="5"/>
        <v>0</v>
      </c>
      <c r="G24" s="90"/>
      <c r="H24" s="52">
        <v>44234</v>
      </c>
      <c r="I24" s="97">
        <v>476460.79</v>
      </c>
      <c r="J24" s="75" t="s">
        <v>21</v>
      </c>
      <c r="K24" s="76" t="s">
        <v>41</v>
      </c>
      <c r="L24" s="77" t="s">
        <v>42</v>
      </c>
      <c r="M24" s="75" t="s">
        <v>52</v>
      </c>
      <c r="N24" s="75"/>
      <c r="O24" s="77"/>
    </row>
    <row r="25" s="1" customFormat="1" ht="18" customHeight="1" spans="1:15">
      <c r="A25" s="45"/>
      <c r="B25" s="97">
        <f t="shared" si="4"/>
        <v>0</v>
      </c>
      <c r="C25" s="47"/>
      <c r="D25" s="48"/>
      <c r="E25" s="51"/>
      <c r="F25" s="96">
        <f t="shared" si="5"/>
        <v>0</v>
      </c>
      <c r="G25" s="90"/>
      <c r="H25" s="52">
        <v>44220</v>
      </c>
      <c r="I25" s="97">
        <v>-1000000</v>
      </c>
      <c r="J25" s="75" t="s">
        <v>21</v>
      </c>
      <c r="K25" s="76" t="s">
        <v>45</v>
      </c>
      <c r="L25" s="77"/>
      <c r="M25" s="75"/>
      <c r="N25" s="75"/>
      <c r="O25" s="77"/>
    </row>
    <row r="26" s="1" customFormat="1" ht="18" customHeight="1" spans="1:15">
      <c r="A26" s="45"/>
      <c r="B26" s="97">
        <f t="shared" si="4"/>
        <v>0</v>
      </c>
      <c r="C26" s="47"/>
      <c r="D26" s="48"/>
      <c r="E26" s="51"/>
      <c r="F26" s="96">
        <f t="shared" si="5"/>
        <v>0</v>
      </c>
      <c r="G26" s="90"/>
      <c r="H26" s="52">
        <v>44234</v>
      </c>
      <c r="I26" s="97">
        <v>1000000</v>
      </c>
      <c r="J26" s="75" t="s">
        <v>21</v>
      </c>
      <c r="K26" s="76" t="s">
        <v>46</v>
      </c>
      <c r="L26" s="77" t="s">
        <v>49</v>
      </c>
      <c r="M26" s="75" t="s">
        <v>47</v>
      </c>
      <c r="N26" s="75"/>
      <c r="O26" s="77" t="s">
        <v>48</v>
      </c>
    </row>
    <row r="27" s="1" customFormat="1" ht="18" customHeight="1" spans="1:15">
      <c r="A27" s="45"/>
      <c r="B27" s="97">
        <f t="shared" si="4"/>
        <v>0</v>
      </c>
      <c r="C27" s="47"/>
      <c r="D27" s="48"/>
      <c r="E27" s="51"/>
      <c r="F27" s="96">
        <f t="shared" si="5"/>
        <v>0</v>
      </c>
      <c r="G27" s="90"/>
      <c r="H27" s="52">
        <v>44236</v>
      </c>
      <c r="I27" s="97">
        <v>300000</v>
      </c>
      <c r="J27" s="75" t="s">
        <v>21</v>
      </c>
      <c r="K27" s="76" t="s">
        <v>53</v>
      </c>
      <c r="L27" s="77" t="s">
        <v>54</v>
      </c>
      <c r="M27" s="75"/>
      <c r="N27" s="75"/>
      <c r="O27" s="77"/>
    </row>
    <row r="28" s="1" customFormat="1" ht="18" customHeight="1" spans="1:15">
      <c r="A28" s="45">
        <v>44287</v>
      </c>
      <c r="B28" s="97">
        <f t="shared" ref="B28:B34" si="6">ROUND(G28/(1+E28),2)</f>
        <v>884955.75</v>
      </c>
      <c r="C28" s="47" t="s">
        <v>55</v>
      </c>
      <c r="D28" s="48" t="s">
        <v>36</v>
      </c>
      <c r="E28" s="49">
        <v>0.13</v>
      </c>
      <c r="F28" s="96">
        <f t="shared" ref="F28:F34" si="7">ROUND(G28/(1+E28)*E28,2)</f>
        <v>115044.25</v>
      </c>
      <c r="G28" s="90">
        <v>1000000</v>
      </c>
      <c r="H28" s="52"/>
      <c r="I28" s="97"/>
      <c r="J28" s="75"/>
      <c r="K28" s="76" t="s">
        <v>53</v>
      </c>
      <c r="L28" s="77" t="s">
        <v>56</v>
      </c>
      <c r="M28" s="102" t="s">
        <v>57</v>
      </c>
      <c r="N28" s="103" t="s">
        <v>40</v>
      </c>
      <c r="O28" s="77"/>
    </row>
    <row r="29" s="1" customFormat="1" ht="18" customHeight="1" spans="1:15">
      <c r="A29" s="45"/>
      <c r="B29" s="97">
        <f t="shared" si="6"/>
        <v>0</v>
      </c>
      <c r="C29" s="47"/>
      <c r="D29" s="48"/>
      <c r="E29" s="51"/>
      <c r="F29" s="96">
        <f t="shared" si="7"/>
        <v>0</v>
      </c>
      <c r="G29" s="90"/>
      <c r="H29" s="52"/>
      <c r="I29" s="97"/>
      <c r="J29" s="75"/>
      <c r="K29" s="76"/>
      <c r="L29" s="77"/>
      <c r="M29" s="78"/>
      <c r="N29" s="75"/>
      <c r="O29" s="77"/>
    </row>
    <row r="30" s="1" customFormat="1" ht="18" customHeight="1" spans="1:15">
      <c r="A30" s="45"/>
      <c r="B30" s="97">
        <f t="shared" si="6"/>
        <v>0</v>
      </c>
      <c r="C30" s="47"/>
      <c r="D30" s="48"/>
      <c r="E30" s="51"/>
      <c r="F30" s="96">
        <f t="shared" si="7"/>
        <v>0</v>
      </c>
      <c r="G30" s="90"/>
      <c r="H30" s="52"/>
      <c r="I30" s="97"/>
      <c r="J30" s="75"/>
      <c r="K30" s="76"/>
      <c r="L30" s="77"/>
      <c r="M30" s="78"/>
      <c r="N30" s="75"/>
      <c r="O30" s="77"/>
    </row>
    <row r="31" s="1" customFormat="1" ht="18" customHeight="1" spans="1:15">
      <c r="A31" s="45"/>
      <c r="B31" s="97">
        <f t="shared" si="6"/>
        <v>0</v>
      </c>
      <c r="C31" s="47"/>
      <c r="D31" s="48"/>
      <c r="E31" s="51"/>
      <c r="F31" s="96">
        <f t="shared" si="7"/>
        <v>0</v>
      </c>
      <c r="G31" s="90"/>
      <c r="H31" s="52"/>
      <c r="I31" s="97"/>
      <c r="J31" s="75"/>
      <c r="K31" s="104"/>
      <c r="L31" s="77"/>
      <c r="M31" s="78"/>
      <c r="N31" s="75"/>
      <c r="O31" s="77"/>
    </row>
    <row r="32" s="1" customFormat="1" ht="18" customHeight="1" spans="1:15">
      <c r="A32" s="45"/>
      <c r="B32" s="97">
        <f t="shared" si="6"/>
        <v>10493</v>
      </c>
      <c r="C32" s="47"/>
      <c r="D32" s="48"/>
      <c r="E32" s="51"/>
      <c r="F32" s="96">
        <f t="shared" si="7"/>
        <v>0</v>
      </c>
      <c r="G32" s="90">
        <f>I32</f>
        <v>10493</v>
      </c>
      <c r="H32" s="52" t="s">
        <v>58</v>
      </c>
      <c r="I32" s="97">
        <v>10493</v>
      </c>
      <c r="J32" s="81" t="s">
        <v>59</v>
      </c>
      <c r="K32" s="76" t="s">
        <v>60</v>
      </c>
      <c r="L32" s="77"/>
      <c r="M32" s="78"/>
      <c r="N32" s="75"/>
      <c r="O32" s="77"/>
    </row>
    <row r="33" s="1" customFormat="1" ht="18" customHeight="1" spans="1:15">
      <c r="A33" s="45"/>
      <c r="B33" s="97">
        <f t="shared" si="6"/>
        <v>0</v>
      </c>
      <c r="C33" s="47"/>
      <c r="D33" s="48"/>
      <c r="E33" s="51"/>
      <c r="F33" s="96">
        <f t="shared" si="7"/>
        <v>0</v>
      </c>
      <c r="G33" s="90"/>
      <c r="H33" s="52" t="s">
        <v>58</v>
      </c>
      <c r="I33" s="97">
        <v>100</v>
      </c>
      <c r="J33" s="75" t="s">
        <v>59</v>
      </c>
      <c r="K33" s="76" t="s">
        <v>61</v>
      </c>
      <c r="L33" s="77"/>
      <c r="M33" s="78"/>
      <c r="N33" s="75"/>
      <c r="O33" s="77"/>
    </row>
    <row r="34" s="1" customFormat="1" ht="18" customHeight="1" spans="1:15">
      <c r="A34" s="45"/>
      <c r="B34" s="97">
        <f t="shared" si="6"/>
        <v>0</v>
      </c>
      <c r="C34" s="47"/>
      <c r="D34" s="48"/>
      <c r="E34" s="51"/>
      <c r="F34" s="96">
        <f t="shared" si="7"/>
        <v>0</v>
      </c>
      <c r="G34" s="90"/>
      <c r="H34" s="52" t="s">
        <v>62</v>
      </c>
      <c r="I34" s="96">
        <v>-242634.997614679</v>
      </c>
      <c r="J34" s="75" t="s">
        <v>63</v>
      </c>
      <c r="K34" s="76" t="s">
        <v>64</v>
      </c>
      <c r="L34" s="77"/>
      <c r="M34" s="78"/>
      <c r="N34" s="75"/>
      <c r="O34" s="77"/>
    </row>
    <row r="35" s="1" customFormat="1" ht="18" customHeight="1" spans="1:15">
      <c r="A35" s="45"/>
      <c r="B35" s="97">
        <f t="shared" ref="B32:B56" si="8">ROUND(G35/(1+E35),2)</f>
        <v>0</v>
      </c>
      <c r="C35" s="47"/>
      <c r="D35" s="48"/>
      <c r="E35" s="51"/>
      <c r="F35" s="96">
        <f t="shared" ref="F32:F56" si="9">ROUND(G35/(1+E35)*E35,2)</f>
        <v>0</v>
      </c>
      <c r="G35" s="90"/>
      <c r="H35" s="52" t="s">
        <v>62</v>
      </c>
      <c r="I35" s="96">
        <v>-10000</v>
      </c>
      <c r="J35" s="75" t="s">
        <v>63</v>
      </c>
      <c r="K35" s="76" t="s">
        <v>65</v>
      </c>
      <c r="L35" s="77"/>
      <c r="M35" s="78"/>
      <c r="N35" s="75"/>
      <c r="O35" s="77"/>
    </row>
    <row r="36" s="1" customFormat="1" ht="18" customHeight="1" spans="1:15">
      <c r="A36" s="45"/>
      <c r="B36" s="97">
        <f t="shared" si="8"/>
        <v>0</v>
      </c>
      <c r="C36" s="47"/>
      <c r="D36" s="48"/>
      <c r="E36" s="51"/>
      <c r="F36" s="96">
        <f t="shared" si="9"/>
        <v>0</v>
      </c>
      <c r="G36" s="90"/>
      <c r="H36" s="52" t="s">
        <v>62</v>
      </c>
      <c r="I36" s="96">
        <v>-26206.3666495412</v>
      </c>
      <c r="J36" s="75" t="s">
        <v>63</v>
      </c>
      <c r="K36" s="76" t="s">
        <v>66</v>
      </c>
      <c r="L36" s="77"/>
      <c r="M36" s="78"/>
      <c r="N36" s="75"/>
      <c r="O36" s="77"/>
    </row>
    <row r="37" s="1" customFormat="1" ht="18" customHeight="1" spans="1:15">
      <c r="A37" s="45"/>
      <c r="B37" s="97">
        <f t="shared" si="8"/>
        <v>0</v>
      </c>
      <c r="C37" s="47"/>
      <c r="D37" s="48"/>
      <c r="E37" s="51"/>
      <c r="F37" s="96">
        <f t="shared" si="9"/>
        <v>0</v>
      </c>
      <c r="G37" s="90"/>
      <c r="H37" s="52" t="s">
        <v>62</v>
      </c>
      <c r="I37" s="96">
        <v>220183.486238531</v>
      </c>
      <c r="J37" s="81" t="s">
        <v>67</v>
      </c>
      <c r="K37" s="76" t="s">
        <v>64</v>
      </c>
      <c r="L37" s="77"/>
      <c r="M37" s="78"/>
      <c r="N37" s="75"/>
      <c r="O37" s="77"/>
    </row>
    <row r="38" s="1" customFormat="1" ht="18" customHeight="1" spans="1:15">
      <c r="A38" s="45"/>
      <c r="B38" s="97">
        <f t="shared" si="8"/>
        <v>0</v>
      </c>
      <c r="C38" s="47"/>
      <c r="D38" s="48"/>
      <c r="E38" s="51"/>
      <c r="F38" s="96">
        <f t="shared" si="9"/>
        <v>0</v>
      </c>
      <c r="G38" s="90"/>
      <c r="H38" s="52" t="s">
        <v>62</v>
      </c>
      <c r="I38" s="105">
        <v>22500</v>
      </c>
      <c r="J38" s="83" t="s">
        <v>59</v>
      </c>
      <c r="K38" s="84" t="s">
        <v>68</v>
      </c>
      <c r="L38" s="77"/>
      <c r="M38" s="78"/>
      <c r="N38" s="75"/>
      <c r="O38" s="77"/>
    </row>
    <row r="39" s="1" customFormat="1" ht="18" customHeight="1" spans="1:15">
      <c r="A39" s="45"/>
      <c r="B39" s="97">
        <f t="shared" si="8"/>
        <v>10000</v>
      </c>
      <c r="C39" s="47"/>
      <c r="D39" s="48"/>
      <c r="E39" s="51"/>
      <c r="F39" s="96">
        <f t="shared" si="9"/>
        <v>0</v>
      </c>
      <c r="G39" s="90">
        <f>I39</f>
        <v>10000</v>
      </c>
      <c r="H39" s="52" t="s">
        <v>62</v>
      </c>
      <c r="I39" s="97">
        <v>10000</v>
      </c>
      <c r="J39" s="81" t="s">
        <v>59</v>
      </c>
      <c r="K39" s="76" t="s">
        <v>60</v>
      </c>
      <c r="L39" s="77"/>
      <c r="M39" s="78"/>
      <c r="N39" s="75"/>
      <c r="O39" s="77"/>
    </row>
    <row r="40" s="1" customFormat="1" ht="18" customHeight="1" spans="1:16">
      <c r="A40" s="45"/>
      <c r="B40" s="97">
        <f t="shared" si="8"/>
        <v>0</v>
      </c>
      <c r="C40" s="47"/>
      <c r="D40" s="48"/>
      <c r="E40" s="51"/>
      <c r="F40" s="96">
        <f t="shared" si="9"/>
        <v>0</v>
      </c>
      <c r="G40" s="90"/>
      <c r="H40" s="52" t="s">
        <v>62</v>
      </c>
      <c r="I40" s="96">
        <v>10000</v>
      </c>
      <c r="J40" s="75" t="s">
        <v>59</v>
      </c>
      <c r="K40" s="76" t="s">
        <v>69</v>
      </c>
      <c r="L40" s="77"/>
      <c r="M40" s="78"/>
      <c r="N40" s="75"/>
      <c r="O40" s="77"/>
      <c r="P40" s="1">
        <f>SUM(I14:I18)+I20+I22+I24</f>
        <v>4152860.79</v>
      </c>
    </row>
    <row r="41" s="1" customFormat="1" ht="18" customHeight="1" spans="1:15">
      <c r="A41" s="45"/>
      <c r="B41" s="97">
        <f t="shared" si="8"/>
        <v>0</v>
      </c>
      <c r="C41" s="47"/>
      <c r="D41" s="48"/>
      <c r="E41" s="51"/>
      <c r="F41" s="96">
        <f t="shared" si="9"/>
        <v>0</v>
      </c>
      <c r="G41" s="90"/>
      <c r="H41" s="52" t="s">
        <v>62</v>
      </c>
      <c r="I41" s="96">
        <v>26206.3666495412</v>
      </c>
      <c r="J41" s="75" t="s">
        <v>59</v>
      </c>
      <c r="K41" s="76" t="s">
        <v>66</v>
      </c>
      <c r="L41" s="77"/>
      <c r="M41" s="78"/>
      <c r="N41" s="75"/>
      <c r="O41" s="77"/>
    </row>
    <row r="42" s="1" customFormat="1" ht="18" customHeight="1" spans="1:15">
      <c r="A42" s="45"/>
      <c r="B42" s="97">
        <f t="shared" si="8"/>
        <v>0</v>
      </c>
      <c r="C42" s="47"/>
      <c r="D42" s="48"/>
      <c r="E42" s="51"/>
      <c r="F42" s="96">
        <f t="shared" si="9"/>
        <v>0</v>
      </c>
      <c r="G42" s="90"/>
      <c r="H42" s="52" t="s">
        <v>62</v>
      </c>
      <c r="I42" s="96">
        <v>400</v>
      </c>
      <c r="J42" s="75" t="s">
        <v>59</v>
      </c>
      <c r="K42" s="76" t="s">
        <v>61</v>
      </c>
      <c r="L42" s="77"/>
      <c r="M42" s="78"/>
      <c r="N42" s="75"/>
      <c r="O42" s="77"/>
    </row>
    <row r="43" s="1" customFormat="1" ht="18" customHeight="1" spans="1:15">
      <c r="A43" s="45"/>
      <c r="B43" s="97">
        <f t="shared" si="8"/>
        <v>0</v>
      </c>
      <c r="C43" s="47"/>
      <c r="D43" s="48"/>
      <c r="E43" s="51"/>
      <c r="F43" s="96">
        <f t="shared" si="9"/>
        <v>0</v>
      </c>
      <c r="G43" s="90"/>
      <c r="H43" s="50" t="s">
        <v>70</v>
      </c>
      <c r="I43" s="96">
        <v>100</v>
      </c>
      <c r="J43" s="75" t="s">
        <v>59</v>
      </c>
      <c r="K43" s="76" t="s">
        <v>61</v>
      </c>
      <c r="L43" s="77"/>
      <c r="M43" s="78"/>
      <c r="N43" s="75"/>
      <c r="O43" s="77"/>
    </row>
    <row r="44" s="1" customFormat="1" ht="18" customHeight="1" spans="1:15">
      <c r="A44" s="45"/>
      <c r="B44" s="97">
        <f t="shared" si="8"/>
        <v>0</v>
      </c>
      <c r="C44" s="47"/>
      <c r="D44" s="48"/>
      <c r="E44" s="51"/>
      <c r="F44" s="96">
        <f t="shared" si="9"/>
        <v>0</v>
      </c>
      <c r="G44" s="90"/>
      <c r="H44" s="50" t="s">
        <v>70</v>
      </c>
      <c r="I44" s="89">
        <v>-211165.488623852</v>
      </c>
      <c r="J44" s="81" t="s">
        <v>63</v>
      </c>
      <c r="K44" s="76" t="s">
        <v>71</v>
      </c>
      <c r="L44" s="77"/>
      <c r="M44" s="78"/>
      <c r="N44" s="75"/>
      <c r="O44" s="77"/>
    </row>
    <row r="45" s="1" customFormat="1" ht="18" customHeight="1" spans="1:15">
      <c r="A45" s="45"/>
      <c r="B45" s="97">
        <f t="shared" si="8"/>
        <v>0</v>
      </c>
      <c r="C45" s="47"/>
      <c r="D45" s="48"/>
      <c r="E45" s="51"/>
      <c r="F45" s="96">
        <f t="shared" si="9"/>
        <v>0</v>
      </c>
      <c r="G45" s="90"/>
      <c r="H45" s="50" t="s">
        <v>70</v>
      </c>
      <c r="I45" s="96">
        <v>50</v>
      </c>
      <c r="J45" s="75" t="s">
        <v>59</v>
      </c>
      <c r="K45" s="76" t="s">
        <v>61</v>
      </c>
      <c r="L45" s="77"/>
      <c r="M45" s="78"/>
      <c r="N45" s="75"/>
      <c r="O45" s="77"/>
    </row>
    <row r="46" s="1" customFormat="1" ht="18" customHeight="1" spans="1:18">
      <c r="A46" s="45"/>
      <c r="B46" s="97">
        <f t="shared" si="8"/>
        <v>0</v>
      </c>
      <c r="C46" s="47"/>
      <c r="D46" s="48"/>
      <c r="E46" s="51"/>
      <c r="F46" s="97">
        <f t="shared" si="9"/>
        <v>0</v>
      </c>
      <c r="G46" s="90"/>
      <c r="H46" s="50" t="s">
        <v>70</v>
      </c>
      <c r="I46" s="96">
        <v>200</v>
      </c>
      <c r="J46" s="75" t="s">
        <v>59</v>
      </c>
      <c r="K46" s="76" t="s">
        <v>61</v>
      </c>
      <c r="L46" s="77"/>
      <c r="M46" s="75"/>
      <c r="N46" s="75"/>
      <c r="O46" s="77"/>
      <c r="R46" s="1" t="s">
        <v>9</v>
      </c>
    </row>
    <row r="47" s="1" customFormat="1" ht="18" customHeight="1" spans="1:15">
      <c r="A47" s="45"/>
      <c r="B47" s="97">
        <f t="shared" si="8"/>
        <v>0</v>
      </c>
      <c r="C47" s="47"/>
      <c r="D47" s="48"/>
      <c r="E47" s="51"/>
      <c r="F47" s="97">
        <f t="shared" si="9"/>
        <v>0</v>
      </c>
      <c r="G47" s="90"/>
      <c r="H47" s="50" t="s">
        <v>70</v>
      </c>
      <c r="I47" s="89">
        <v>233617</v>
      </c>
      <c r="J47" s="81" t="s">
        <v>67</v>
      </c>
      <c r="K47" s="76" t="s">
        <v>72</v>
      </c>
      <c r="L47" s="77"/>
      <c r="M47" s="75"/>
      <c r="N47" s="75"/>
      <c r="O47" s="77"/>
    </row>
    <row r="48" s="1" customFormat="1" ht="18" customHeight="1" spans="1:15">
      <c r="A48" s="45"/>
      <c r="B48" s="97">
        <f t="shared" si="8"/>
        <v>0</v>
      </c>
      <c r="C48" s="47"/>
      <c r="D48" s="48"/>
      <c r="E48" s="51"/>
      <c r="F48" s="97">
        <f t="shared" si="9"/>
        <v>0</v>
      </c>
      <c r="G48" s="90"/>
      <c r="H48" s="50" t="s">
        <v>70</v>
      </c>
      <c r="I48" s="89">
        <v>595</v>
      </c>
      <c r="J48" s="81" t="s">
        <v>59</v>
      </c>
      <c r="K48" s="76" t="s">
        <v>73</v>
      </c>
      <c r="L48" s="77"/>
      <c r="M48" s="75"/>
      <c r="N48" s="75"/>
      <c r="O48" s="77"/>
    </row>
    <row r="49" s="1" customFormat="1" ht="18" customHeight="1" spans="1:15">
      <c r="A49" s="45"/>
      <c r="B49" s="97">
        <f t="shared" si="8"/>
        <v>0</v>
      </c>
      <c r="C49" s="47"/>
      <c r="D49" s="48"/>
      <c r="E49" s="51"/>
      <c r="F49" s="97">
        <f t="shared" si="9"/>
        <v>0</v>
      </c>
      <c r="G49" s="90"/>
      <c r="H49" s="50" t="s">
        <v>70</v>
      </c>
      <c r="I49" s="89">
        <v>10800</v>
      </c>
      <c r="J49" s="81" t="s">
        <v>59</v>
      </c>
      <c r="K49" s="76" t="s">
        <v>74</v>
      </c>
      <c r="L49" s="77"/>
      <c r="M49" s="75"/>
      <c r="N49" s="75"/>
      <c r="O49" s="77"/>
    </row>
    <row r="50" s="1" customFormat="1" ht="18" customHeight="1" spans="1:15">
      <c r="A50" s="45"/>
      <c r="B50" s="97">
        <f t="shared" si="8"/>
        <v>10800</v>
      </c>
      <c r="C50" s="47"/>
      <c r="D50" s="48"/>
      <c r="E50" s="51"/>
      <c r="F50" s="97">
        <f t="shared" si="9"/>
        <v>0</v>
      </c>
      <c r="G50" s="90">
        <v>10800</v>
      </c>
      <c r="H50" s="50" t="s">
        <v>70</v>
      </c>
      <c r="I50" s="89">
        <f>G50</f>
        <v>10800</v>
      </c>
      <c r="J50" s="81" t="s">
        <v>59</v>
      </c>
      <c r="K50" s="76" t="s">
        <v>60</v>
      </c>
      <c r="L50" s="77"/>
      <c r="M50" s="75"/>
      <c r="N50" s="75"/>
      <c r="O50" s="77"/>
    </row>
    <row r="51" s="1" customFormat="1" ht="18" customHeight="1" spans="1:15">
      <c r="A51" s="45"/>
      <c r="B51" s="97">
        <f t="shared" si="8"/>
        <v>0</v>
      </c>
      <c r="C51" s="47"/>
      <c r="D51" s="48"/>
      <c r="E51" s="51"/>
      <c r="F51" s="97">
        <f t="shared" si="9"/>
        <v>0</v>
      </c>
      <c r="G51" s="90"/>
      <c r="H51" s="50" t="s">
        <v>75</v>
      </c>
      <c r="I51" s="89">
        <v>10000</v>
      </c>
      <c r="J51" s="81" t="s">
        <v>59</v>
      </c>
      <c r="K51" s="76" t="s">
        <v>74</v>
      </c>
      <c r="L51" s="77"/>
      <c r="M51" s="75"/>
      <c r="N51" s="75"/>
      <c r="O51" s="77"/>
    </row>
    <row r="52" s="1" customFormat="1" ht="18" customHeight="1" spans="1:16">
      <c r="A52" s="45"/>
      <c r="B52" s="97">
        <f t="shared" si="8"/>
        <v>10000</v>
      </c>
      <c r="C52" s="47"/>
      <c r="D52" s="48"/>
      <c r="E52" s="51"/>
      <c r="F52" s="97">
        <f t="shared" si="9"/>
        <v>0</v>
      </c>
      <c r="G52" s="90">
        <f>I7*0.01</f>
        <v>10000</v>
      </c>
      <c r="H52" s="22" t="s">
        <v>75</v>
      </c>
      <c r="I52" s="89">
        <f>G52</f>
        <v>10000</v>
      </c>
      <c r="J52" s="81" t="s">
        <v>59</v>
      </c>
      <c r="K52" s="76" t="s">
        <v>60</v>
      </c>
      <c r="L52" s="77"/>
      <c r="M52" s="75"/>
      <c r="N52" s="75"/>
      <c r="O52" s="77"/>
      <c r="P52" s="1" t="s">
        <v>9</v>
      </c>
    </row>
    <row r="53" s="1" customFormat="1" ht="18" customHeight="1" spans="1:15">
      <c r="A53" s="45"/>
      <c r="B53" s="97">
        <f t="shared" si="8"/>
        <v>0</v>
      </c>
      <c r="C53" s="47"/>
      <c r="D53" s="48"/>
      <c r="E53" s="51"/>
      <c r="F53" s="97">
        <f t="shared" si="9"/>
        <v>0</v>
      </c>
      <c r="G53" s="90"/>
      <c r="H53" s="22" t="s">
        <v>75</v>
      </c>
      <c r="I53" s="89">
        <v>-230000</v>
      </c>
      <c r="J53" s="81" t="s">
        <v>63</v>
      </c>
      <c r="K53" s="76" t="s">
        <v>76</v>
      </c>
      <c r="L53" s="77"/>
      <c r="M53" s="75"/>
      <c r="N53" s="75"/>
      <c r="O53" s="77"/>
    </row>
    <row r="54" s="1" customFormat="1" ht="18" customHeight="1" spans="1:15">
      <c r="A54" s="45"/>
      <c r="B54" s="97">
        <f t="shared" si="8"/>
        <v>0</v>
      </c>
      <c r="C54" s="47"/>
      <c r="D54" s="48"/>
      <c r="E54" s="51"/>
      <c r="F54" s="97">
        <f t="shared" si="9"/>
        <v>0</v>
      </c>
      <c r="G54" s="90"/>
      <c r="H54" s="22" t="s">
        <v>75</v>
      </c>
      <c r="I54" s="89">
        <v>230000</v>
      </c>
      <c r="J54" s="81" t="s">
        <v>67</v>
      </c>
      <c r="K54" s="76" t="s">
        <v>77</v>
      </c>
      <c r="L54" s="77"/>
      <c r="M54" s="75"/>
      <c r="N54" s="75"/>
      <c r="O54" s="77"/>
    </row>
    <row r="55" s="1" customFormat="1" ht="18" customHeight="1" spans="1:15">
      <c r="A55" s="45"/>
      <c r="B55" s="97">
        <f t="shared" si="8"/>
        <v>0</v>
      </c>
      <c r="C55" s="47"/>
      <c r="D55" s="48"/>
      <c r="E55" s="51"/>
      <c r="F55" s="97">
        <f t="shared" si="9"/>
        <v>0</v>
      </c>
      <c r="G55" s="90"/>
      <c r="H55" s="22" t="s">
        <v>75</v>
      </c>
      <c r="I55" s="89">
        <v>551</v>
      </c>
      <c r="J55" s="81" t="s">
        <v>59</v>
      </c>
      <c r="K55" s="76" t="s">
        <v>73</v>
      </c>
      <c r="L55" s="77"/>
      <c r="M55" s="75"/>
      <c r="N55" s="75"/>
      <c r="O55" s="77"/>
    </row>
    <row r="56" s="1" customFormat="1" ht="18" customHeight="1" spans="1:15">
      <c r="A56" s="45"/>
      <c r="B56" s="97">
        <f t="shared" si="8"/>
        <v>0</v>
      </c>
      <c r="C56" s="47"/>
      <c r="D56" s="48"/>
      <c r="E56" s="51"/>
      <c r="F56" s="97">
        <f t="shared" si="9"/>
        <v>0</v>
      </c>
      <c r="G56" s="90"/>
      <c r="H56" s="22" t="s">
        <v>78</v>
      </c>
      <c r="I56" s="89">
        <v>70643</v>
      </c>
      <c r="J56" s="81" t="s">
        <v>59</v>
      </c>
      <c r="K56" s="76" t="s">
        <v>79</v>
      </c>
      <c r="M56" s="75"/>
      <c r="N56" s="75"/>
      <c r="O56" s="77"/>
    </row>
    <row r="57" ht="18" customHeight="1" spans="1:15">
      <c r="A57" s="35" t="s">
        <v>22</v>
      </c>
      <c r="B57" s="92">
        <f>SUM(B14:B56)</f>
        <v>5344606.74</v>
      </c>
      <c r="C57" s="35"/>
      <c r="D57" s="53"/>
      <c r="E57" s="53"/>
      <c r="F57" s="93">
        <f>SUM(F14:F56)</f>
        <v>473086.26</v>
      </c>
      <c r="G57" s="98">
        <f>SUM(G14:G56)</f>
        <v>5817693</v>
      </c>
      <c r="H57" s="55"/>
      <c r="I57" s="35">
        <f>SUM(I14:I56)</f>
        <v>2810092.79</v>
      </c>
      <c r="J57" s="85"/>
      <c r="K57" s="53"/>
      <c r="L57" s="38"/>
      <c r="M57" s="81"/>
      <c r="N57" s="81"/>
      <c r="O57" s="38"/>
    </row>
    <row r="58" ht="18" customHeight="1" spans="1:14">
      <c r="A58" s="56" t="s">
        <v>80</v>
      </c>
      <c r="B58" s="56">
        <f>B11*0.96</f>
        <v>3636814.67889908</v>
      </c>
      <c r="C58" s="56"/>
      <c r="D58" s="58"/>
      <c r="E58" s="58"/>
      <c r="F58" s="57"/>
      <c r="G58" s="56">
        <f>G11-G57</f>
        <v>-1688393</v>
      </c>
      <c r="H58" s="21" t="s">
        <v>81</v>
      </c>
      <c r="I58" s="35">
        <f>I11-I57</f>
        <v>1319207.21</v>
      </c>
      <c r="J58" s="6"/>
      <c r="K58" s="86"/>
      <c r="M58" s="87"/>
      <c r="N58" s="87"/>
    </row>
    <row r="59" ht="18" customHeight="1" spans="1:14">
      <c r="A59" s="56" t="s">
        <v>82</v>
      </c>
      <c r="B59" s="56">
        <f>B58-B57</f>
        <v>-1707792.06110092</v>
      </c>
      <c r="C59" s="56"/>
      <c r="D59" s="58"/>
      <c r="E59" s="58"/>
      <c r="F59" s="57"/>
      <c r="G59" s="57"/>
      <c r="H59" s="59"/>
      <c r="I59" s="57"/>
      <c r="J59" s="6"/>
      <c r="K59" s="86"/>
      <c r="M59" s="87"/>
      <c r="N59" s="87"/>
    </row>
    <row r="60" ht="18" customHeight="1" spans="1:3">
      <c r="A60" s="2" t="s">
        <v>83</v>
      </c>
      <c r="C60" s="2"/>
    </row>
    <row r="61" ht="18" customHeight="1" spans="1:11">
      <c r="A61" s="21" t="s">
        <v>84</v>
      </c>
      <c r="B61" s="20" t="s">
        <v>85</v>
      </c>
      <c r="C61" s="38"/>
      <c r="D61" s="21" t="s">
        <v>84</v>
      </c>
      <c r="E61" s="19" t="s">
        <v>16</v>
      </c>
      <c r="F61" s="60" t="s">
        <v>85</v>
      </c>
      <c r="G61" s="61" t="s">
        <v>86</v>
      </c>
      <c r="H61" s="11" t="s">
        <v>87</v>
      </c>
      <c r="I61" s="11" t="s">
        <v>88</v>
      </c>
      <c r="K61" s="11" t="s">
        <v>89</v>
      </c>
    </row>
    <row r="62" ht="18" customHeight="1" spans="1:11">
      <c r="A62" s="38" t="s">
        <v>90</v>
      </c>
      <c r="B62" s="17">
        <f>(B58-B57)*0.25</f>
        <v>-426948.015275229</v>
      </c>
      <c r="C62" s="38"/>
      <c r="D62" s="33" t="s">
        <v>91</v>
      </c>
      <c r="E62" s="21" t="s">
        <v>92</v>
      </c>
      <c r="F62" s="99">
        <f>F11-F57</f>
        <v>-207901.856330275</v>
      </c>
      <c r="G62" s="99">
        <f>F7</f>
        <v>64220.1834862385</v>
      </c>
      <c r="H62" s="100">
        <v>0</v>
      </c>
      <c r="I62" s="100">
        <f>SUM(F8:F9)-SUM(F14:F16)</f>
        <v>90784.7801834862</v>
      </c>
      <c r="J62" s="106"/>
      <c r="K62" s="100">
        <f>F11-F57</f>
        <v>-207901.856330275</v>
      </c>
    </row>
    <row r="63" ht="18" customHeight="1" spans="1:11">
      <c r="A63" s="38" t="s">
        <v>93</v>
      </c>
      <c r="B63" s="63" t="s">
        <v>94</v>
      </c>
      <c r="C63" s="38"/>
      <c r="D63" s="64" t="s">
        <v>95</v>
      </c>
      <c r="E63" s="13">
        <v>0.05</v>
      </c>
      <c r="F63" s="61">
        <f>F62*E63</f>
        <v>-10395.0928165138</v>
      </c>
      <c r="G63" s="61">
        <f>G62*E63</f>
        <v>3211.00917431193</v>
      </c>
      <c r="H63" s="11">
        <v>0</v>
      </c>
      <c r="I63" s="11"/>
      <c r="K63" s="11"/>
    </row>
    <row r="64" ht="18" customHeight="1" spans="1:11">
      <c r="A64" s="38"/>
      <c r="B64" s="63"/>
      <c r="C64" s="38"/>
      <c r="D64" s="65"/>
      <c r="E64" s="13">
        <v>0.07</v>
      </c>
      <c r="F64" s="61"/>
      <c r="G64" s="61"/>
      <c r="H64" s="11"/>
      <c r="I64" s="11">
        <f>I62*E64</f>
        <v>6354.93461284404</v>
      </c>
      <c r="K64" s="11">
        <f>K62*E64</f>
        <v>-14553.1299431193</v>
      </c>
    </row>
    <row r="65" ht="18" customHeight="1" spans="1:11">
      <c r="A65" s="38" t="s">
        <v>73</v>
      </c>
      <c r="B65" s="63"/>
      <c r="C65" s="38"/>
      <c r="D65" s="66" t="s">
        <v>96</v>
      </c>
      <c r="E65" s="13">
        <v>0.03</v>
      </c>
      <c r="F65" s="61">
        <f>F62*E65</f>
        <v>-6237.05568990826</v>
      </c>
      <c r="G65" s="61">
        <f>G62*E65</f>
        <v>1926.60550458716</v>
      </c>
      <c r="H65" s="11">
        <v>0</v>
      </c>
      <c r="I65" s="11">
        <f>I62*E65</f>
        <v>2723.54340550459</v>
      </c>
      <c r="K65" s="11">
        <f>K62*E65</f>
        <v>-6237.05568990826</v>
      </c>
    </row>
    <row r="66" ht="18" customHeight="1" spans="1:11">
      <c r="A66" s="38"/>
      <c r="B66" s="23"/>
      <c r="C66" s="38"/>
      <c r="D66" s="66" t="s">
        <v>97</v>
      </c>
      <c r="E66" s="13">
        <v>0.02</v>
      </c>
      <c r="F66" s="61">
        <f>F62*E66</f>
        <v>-4158.0371266055</v>
      </c>
      <c r="G66" s="61">
        <f>G62*E66</f>
        <v>1284.40366972477</v>
      </c>
      <c r="H66" s="11">
        <v>0</v>
      </c>
      <c r="I66" s="11">
        <f>I62*E66</f>
        <v>1815.69560366972</v>
      </c>
      <c r="K66" s="11">
        <f>K62*E66</f>
        <v>-4158.0371266055</v>
      </c>
    </row>
    <row r="67" ht="18" customHeight="1" spans="1:11">
      <c r="A67" s="33" t="s">
        <v>98</v>
      </c>
      <c r="B67" s="34">
        <f t="shared" ref="B67:G67" si="10">SUM(B62:B66)</f>
        <v>-426948.015275229</v>
      </c>
      <c r="C67" s="38"/>
      <c r="D67" s="39" t="s">
        <v>98</v>
      </c>
      <c r="E67" s="33"/>
      <c r="F67" s="62">
        <f t="shared" si="10"/>
        <v>-228692.041963303</v>
      </c>
      <c r="G67" s="62">
        <f t="shared" si="10"/>
        <v>70642.2018348624</v>
      </c>
      <c r="H67" s="93">
        <v>0</v>
      </c>
      <c r="I67" s="93">
        <f>SUM(I62:I66)</f>
        <v>101678.953805505</v>
      </c>
      <c r="J67" s="108"/>
      <c r="K67" s="93">
        <f>SUM(K62:K66)</f>
        <v>-232850.079089908</v>
      </c>
    </row>
    <row r="68" ht="18" customHeight="1" spans="3:11">
      <c r="C68" s="2"/>
      <c r="D68" s="67" t="s">
        <v>90</v>
      </c>
      <c r="E68" s="68">
        <v>0.01</v>
      </c>
      <c r="F68" s="107">
        <f>G11*E68</f>
        <v>41293</v>
      </c>
      <c r="G68" s="61">
        <f>G7*E68</f>
        <v>10000</v>
      </c>
      <c r="H68" s="11">
        <f>G8*E68</f>
        <v>10800</v>
      </c>
      <c r="I68" s="11">
        <f>G9*E68</f>
        <v>20493</v>
      </c>
      <c r="K68" s="11">
        <f>G9*E68</f>
        <v>20493</v>
      </c>
    </row>
    <row r="69" ht="18" customHeight="1" spans="3:11">
      <c r="C69" s="2"/>
      <c r="D69" s="38" t="s">
        <v>93</v>
      </c>
      <c r="E69" s="88">
        <v>0.0003</v>
      </c>
      <c r="F69" s="69"/>
      <c r="G69" s="61" t="s">
        <v>94</v>
      </c>
      <c r="H69" s="11" t="s">
        <v>94</v>
      </c>
      <c r="I69" s="11"/>
      <c r="K69" s="11">
        <v>0</v>
      </c>
    </row>
    <row r="70" ht="18" customHeight="1" spans="3:11">
      <c r="C70" s="2"/>
      <c r="D70" s="11" t="s">
        <v>73</v>
      </c>
      <c r="E70" s="88">
        <v>0.0006</v>
      </c>
      <c r="F70" s="61">
        <f>B11*E70</f>
        <v>2273.00917431193</v>
      </c>
      <c r="G70" s="61">
        <f>B7*0.0006</f>
        <v>550.45871559633</v>
      </c>
      <c r="H70" s="11">
        <f>B8*E70</f>
        <v>594.495412844037</v>
      </c>
      <c r="I70" s="11"/>
      <c r="K70" s="11">
        <f>B9*E70</f>
        <v>1128.05504587156</v>
      </c>
    </row>
    <row r="71" ht="18" customHeight="1" spans="3:11">
      <c r="C71" s="2"/>
      <c r="D71" s="11" t="s">
        <v>99</v>
      </c>
      <c r="E71" s="11">
        <v>0.25</v>
      </c>
      <c r="F71" s="61"/>
      <c r="G71" s="61"/>
      <c r="H71" s="11">
        <v>22451.511376148</v>
      </c>
      <c r="I71" s="11">
        <f>B59*0.25-H71</f>
        <v>-449399.526651377</v>
      </c>
      <c r="K71" s="11"/>
    </row>
    <row r="72" ht="18" customHeight="1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</sheetData>
  <autoFilter ref="A13:O71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D63:D64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B9" sqref="B9:G1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9" style="6"/>
    <col min="16" max="16" width="9.625" style="6"/>
    <col min="17" max="16384" width="9" style="6"/>
  </cols>
  <sheetData>
    <row r="1" ht="21.95" customHeight="1" spans="1:12">
      <c r="A1" s="7" t="s">
        <v>100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43768</v>
      </c>
      <c r="C2" s="11" t="s">
        <v>2</v>
      </c>
      <c r="D2" s="12">
        <v>10841736</v>
      </c>
      <c r="E2" s="13" t="s">
        <v>3</v>
      </c>
      <c r="F2" s="14" t="s">
        <v>4</v>
      </c>
      <c r="G2" s="15" t="s">
        <v>5</v>
      </c>
      <c r="H2" s="16"/>
      <c r="I2" s="70"/>
      <c r="J2" s="71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/>
      <c r="H3" s="18"/>
      <c r="I3" s="72"/>
      <c r="J3" s="18"/>
      <c r="K3" s="18"/>
      <c r="L3" s="18"/>
    </row>
    <row r="4" ht="18" customHeight="1" spans="1:13">
      <c r="A4" s="2" t="s">
        <v>8</v>
      </c>
      <c r="H4" s="18"/>
      <c r="I4" s="72"/>
      <c r="J4" s="18"/>
      <c r="K4" s="18"/>
      <c r="L4" s="18"/>
      <c r="M4" s="6" t="s">
        <v>9</v>
      </c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2">
      <c r="A7" s="22">
        <v>43960</v>
      </c>
      <c r="B7" s="23">
        <f t="shared" ref="B7:B8" si="0">G7/(1+C7+E7)</f>
        <v>917431.19266055</v>
      </c>
      <c r="C7" s="24">
        <v>0.02</v>
      </c>
      <c r="D7" s="25">
        <f t="shared" ref="D7:D8" si="1">G7/(1+E7+C7)*C7</f>
        <v>18348.623853211</v>
      </c>
      <c r="E7" s="26">
        <v>0.07</v>
      </c>
      <c r="F7" s="23">
        <f t="shared" ref="F7:F8" si="2">G7/(1+C7+E7)*E7</f>
        <v>64220.1834862385</v>
      </c>
      <c r="G7" s="27">
        <v>1000000</v>
      </c>
      <c r="H7" s="22">
        <v>43966</v>
      </c>
      <c r="I7" s="23">
        <v>1000000</v>
      </c>
      <c r="J7" s="73" t="s">
        <v>21</v>
      </c>
      <c r="L7" s="6">
        <f>I7*0.02</f>
        <v>20000</v>
      </c>
    </row>
    <row r="8" ht="18" customHeight="1" spans="1:10">
      <c r="A8" s="22">
        <v>44075</v>
      </c>
      <c r="B8" s="23">
        <f t="shared" si="0"/>
        <v>990825.688073394</v>
      </c>
      <c r="C8" s="24">
        <v>0.02</v>
      </c>
      <c r="D8" s="25">
        <f t="shared" si="1"/>
        <v>19816.5137614679</v>
      </c>
      <c r="E8" s="26">
        <v>0.07</v>
      </c>
      <c r="F8" s="23">
        <f t="shared" si="2"/>
        <v>69357.7981651376</v>
      </c>
      <c r="G8" s="27">
        <v>1080000</v>
      </c>
      <c r="H8" s="22">
        <v>44081</v>
      </c>
      <c r="I8" s="23">
        <v>1080000</v>
      </c>
      <c r="J8" s="73" t="s">
        <v>21</v>
      </c>
    </row>
    <row r="9" ht="18" customHeight="1" spans="1:10">
      <c r="A9" s="22" t="s">
        <v>101</v>
      </c>
      <c r="B9" s="28">
        <f t="shared" ref="B8:B10" si="3">G9/(1+C9+E9)</f>
        <v>917431.19266055</v>
      </c>
      <c r="C9" s="29">
        <v>0.02</v>
      </c>
      <c r="D9" s="30">
        <f t="shared" ref="D8:D10" si="4">G9/(1+E9+C9)*C9</f>
        <v>18348.623853211</v>
      </c>
      <c r="E9" s="31">
        <v>0.07</v>
      </c>
      <c r="F9" s="28">
        <f t="shared" ref="F8:F10" si="5">G9/(1+C9+E9)*E9</f>
        <v>64220.1834862385</v>
      </c>
      <c r="G9" s="32">
        <v>1000000</v>
      </c>
      <c r="H9" s="22">
        <v>44223</v>
      </c>
      <c r="I9" s="23">
        <v>1000000</v>
      </c>
      <c r="J9" s="73" t="s">
        <v>21</v>
      </c>
    </row>
    <row r="10" ht="18" customHeight="1" spans="1:10">
      <c r="A10" s="22" t="s">
        <v>101</v>
      </c>
      <c r="B10" s="28">
        <f t="shared" si="3"/>
        <v>962660.550458716</v>
      </c>
      <c r="C10" s="29">
        <v>0.02</v>
      </c>
      <c r="D10" s="30">
        <f t="shared" si="4"/>
        <v>19253.2110091743</v>
      </c>
      <c r="E10" s="31">
        <v>0.07</v>
      </c>
      <c r="F10" s="28">
        <f t="shared" si="5"/>
        <v>67386.2385321101</v>
      </c>
      <c r="G10" s="32">
        <f>500000+549300</f>
        <v>1049300</v>
      </c>
      <c r="H10" s="22">
        <v>44232</v>
      </c>
      <c r="I10" s="23">
        <f>500000+549300</f>
        <v>1049300</v>
      </c>
      <c r="J10" s="73" t="s">
        <v>21</v>
      </c>
    </row>
    <row r="11" ht="18" customHeight="1" spans="1:10">
      <c r="A11" s="33" t="s">
        <v>22</v>
      </c>
      <c r="B11" s="34">
        <f>SUM(B7:B10)</f>
        <v>3788348.62385321</v>
      </c>
      <c r="C11" s="35"/>
      <c r="D11" s="36">
        <f t="shared" ref="D11:G11" si="6">SUM(D7:D10)</f>
        <v>75766.9724770642</v>
      </c>
      <c r="E11" s="35"/>
      <c r="F11" s="37">
        <f>SUM(F7:F10)</f>
        <v>265184.403669725</v>
      </c>
      <c r="G11" s="36">
        <f t="shared" si="6"/>
        <v>4129300</v>
      </c>
      <c r="H11" s="38"/>
      <c r="I11" s="36">
        <f>SUM(I7:I10)</f>
        <v>4129300</v>
      </c>
      <c r="J11" s="38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9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4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40">
        <v>43971</v>
      </c>
      <c r="B14" s="30">
        <f t="shared" ref="B14:B35" si="7">ROUND(G14/(1+E14),2)</f>
        <v>585398.23</v>
      </c>
      <c r="C14" s="41">
        <v>1</v>
      </c>
      <c r="D14" s="42" t="s">
        <v>36</v>
      </c>
      <c r="E14" s="43">
        <v>0.13</v>
      </c>
      <c r="F14" s="30">
        <f t="shared" ref="F14:F16" si="8">ROUND(G14/(1+E14)*E14,2)</f>
        <v>76101.77</v>
      </c>
      <c r="G14" s="32">
        <v>661500</v>
      </c>
      <c r="H14" s="44">
        <v>43972</v>
      </c>
      <c r="I14" s="17">
        <v>661500</v>
      </c>
      <c r="J14" s="75" t="s">
        <v>21</v>
      </c>
      <c r="K14" s="76" t="s">
        <v>37</v>
      </c>
      <c r="L14" s="77" t="s">
        <v>38</v>
      </c>
      <c r="M14" s="78" t="s">
        <v>39</v>
      </c>
      <c r="N14" s="75"/>
      <c r="O14" s="79" t="s">
        <v>40</v>
      </c>
    </row>
    <row r="15" s="1" customFormat="1" ht="18" customHeight="1" spans="1:15">
      <c r="A15" s="45">
        <v>44002</v>
      </c>
      <c r="B15" s="46">
        <f t="shared" si="7"/>
        <v>291262.14</v>
      </c>
      <c r="C15" s="47">
        <v>3</v>
      </c>
      <c r="D15" s="48" t="s">
        <v>36</v>
      </c>
      <c r="E15" s="49">
        <v>0.03</v>
      </c>
      <c r="F15" s="46">
        <f t="shared" si="8"/>
        <v>8737.86</v>
      </c>
      <c r="G15" s="27">
        <v>300000</v>
      </c>
      <c r="H15" s="44">
        <v>44010</v>
      </c>
      <c r="I15" s="17">
        <v>200000</v>
      </c>
      <c r="J15" s="75" t="s">
        <v>21</v>
      </c>
      <c r="K15" s="76" t="s">
        <v>41</v>
      </c>
      <c r="L15" s="77" t="s">
        <v>42</v>
      </c>
      <c r="M15" s="78" t="s">
        <v>43</v>
      </c>
      <c r="N15" s="75"/>
      <c r="O15" s="79"/>
    </row>
    <row r="16" s="1" customFormat="1" ht="18" customHeight="1" spans="1:15">
      <c r="A16" s="45">
        <v>44094</v>
      </c>
      <c r="B16" s="46">
        <f t="shared" si="7"/>
        <v>844660.19</v>
      </c>
      <c r="C16" s="47">
        <v>9</v>
      </c>
      <c r="D16" s="48" t="s">
        <v>36</v>
      </c>
      <c r="E16" s="49">
        <v>0.03</v>
      </c>
      <c r="F16" s="46">
        <f t="shared" si="8"/>
        <v>25339.81</v>
      </c>
      <c r="G16" s="27">
        <f>100000+100000+100000+100000+100000+100000+100000+100000+70000</f>
        <v>870000</v>
      </c>
      <c r="H16" s="50">
        <v>44090</v>
      </c>
      <c r="I16" s="17">
        <v>500000</v>
      </c>
      <c r="J16" s="75" t="s">
        <v>21</v>
      </c>
      <c r="K16" s="76" t="s">
        <v>41</v>
      </c>
      <c r="L16" s="77" t="s">
        <v>42</v>
      </c>
      <c r="M16" s="78" t="s">
        <v>43</v>
      </c>
      <c r="N16" s="75"/>
      <c r="O16" s="77"/>
    </row>
    <row r="17" s="1" customFormat="1" ht="18" customHeight="1" spans="1:15">
      <c r="A17" s="45"/>
      <c r="B17" s="17">
        <f t="shared" si="7"/>
        <v>0</v>
      </c>
      <c r="C17" s="47"/>
      <c r="D17" s="48"/>
      <c r="E17" s="51"/>
      <c r="F17" s="46">
        <f t="shared" ref="F17:F35" si="9">ROUND(G17/(1+E17)*E17,2)</f>
        <v>0</v>
      </c>
      <c r="G17" s="27"/>
      <c r="H17" s="50">
        <v>44102</v>
      </c>
      <c r="I17" s="17">
        <v>370000</v>
      </c>
      <c r="J17" s="75" t="s">
        <v>21</v>
      </c>
      <c r="K17" s="76" t="s">
        <v>41</v>
      </c>
      <c r="L17" s="77" t="s">
        <v>42</v>
      </c>
      <c r="M17" s="78" t="s">
        <v>43</v>
      </c>
      <c r="N17" s="75"/>
      <c r="O17" s="77"/>
    </row>
    <row r="18" s="1" customFormat="1" ht="18" customHeight="1" spans="1:15">
      <c r="A18" s="45"/>
      <c r="B18" s="17">
        <f t="shared" si="7"/>
        <v>0</v>
      </c>
      <c r="C18" s="47"/>
      <c r="D18" s="48"/>
      <c r="E18" s="51"/>
      <c r="F18" s="46">
        <f t="shared" si="9"/>
        <v>0</v>
      </c>
      <c r="G18" s="27"/>
      <c r="H18" s="52">
        <v>44138</v>
      </c>
      <c r="I18" s="17">
        <v>144900</v>
      </c>
      <c r="J18" s="75" t="s">
        <v>21</v>
      </c>
      <c r="K18" s="76" t="s">
        <v>44</v>
      </c>
      <c r="L18" s="77"/>
      <c r="M18" s="78"/>
      <c r="N18" s="75"/>
      <c r="O18" s="77"/>
    </row>
    <row r="19" s="1" customFormat="1" ht="18" customHeight="1" spans="1:15">
      <c r="A19" s="45"/>
      <c r="B19" s="17">
        <f t="shared" si="7"/>
        <v>0</v>
      </c>
      <c r="C19" s="47"/>
      <c r="D19" s="48"/>
      <c r="E19" s="51"/>
      <c r="F19" s="46">
        <f t="shared" si="9"/>
        <v>0</v>
      </c>
      <c r="G19" s="27"/>
      <c r="H19" s="52">
        <v>43855</v>
      </c>
      <c r="I19" s="17">
        <v>-1500000</v>
      </c>
      <c r="J19" s="75" t="s">
        <v>21</v>
      </c>
      <c r="K19" s="76" t="s">
        <v>45</v>
      </c>
      <c r="L19" s="77"/>
      <c r="M19" s="78"/>
      <c r="N19" s="75"/>
      <c r="O19" s="77"/>
    </row>
    <row r="20" s="1" customFormat="1" ht="18" customHeight="1" spans="1:15">
      <c r="A20" s="45"/>
      <c r="B20" s="17">
        <f t="shared" si="7"/>
        <v>0</v>
      </c>
      <c r="C20" s="47"/>
      <c r="D20" s="48"/>
      <c r="E20" s="51"/>
      <c r="F20" s="46">
        <f t="shared" si="9"/>
        <v>0</v>
      </c>
      <c r="G20" s="27"/>
      <c r="H20" s="52">
        <v>44190</v>
      </c>
      <c r="I20" s="17">
        <v>1500000</v>
      </c>
      <c r="J20" s="75" t="s">
        <v>21</v>
      </c>
      <c r="K20" s="76" t="s">
        <v>46</v>
      </c>
      <c r="L20" s="77"/>
      <c r="M20" s="78" t="s">
        <v>47</v>
      </c>
      <c r="N20" s="75"/>
      <c r="O20" s="77"/>
    </row>
    <row r="21" s="1" customFormat="1" ht="18" customHeight="1" spans="1:15">
      <c r="A21" s="45"/>
      <c r="B21" s="17">
        <f t="shared" si="7"/>
        <v>0</v>
      </c>
      <c r="C21" s="47"/>
      <c r="D21" s="48"/>
      <c r="E21" s="51"/>
      <c r="F21" s="46">
        <f t="shared" si="9"/>
        <v>0</v>
      </c>
      <c r="G21" s="27"/>
      <c r="H21" s="52">
        <v>44220</v>
      </c>
      <c r="I21" s="17">
        <v>-300000</v>
      </c>
      <c r="J21" s="75" t="s">
        <v>21</v>
      </c>
      <c r="K21" s="76" t="s">
        <v>45</v>
      </c>
      <c r="L21" s="77"/>
      <c r="M21" s="78"/>
      <c r="N21" s="75"/>
      <c r="O21" s="77" t="s">
        <v>48</v>
      </c>
    </row>
    <row r="22" s="1" customFormat="1" ht="18" customHeight="1" spans="1:15">
      <c r="A22" s="45">
        <v>44228</v>
      </c>
      <c r="B22" s="17">
        <f t="shared" si="7"/>
        <v>2568807.34</v>
      </c>
      <c r="C22" s="47">
        <v>3</v>
      </c>
      <c r="D22" s="48" t="s">
        <v>36</v>
      </c>
      <c r="E22" s="49">
        <v>0.09</v>
      </c>
      <c r="F22" s="46">
        <f t="shared" si="9"/>
        <v>231192.66</v>
      </c>
      <c r="G22" s="27">
        <f>2000000+800000</f>
        <v>2800000</v>
      </c>
      <c r="H22" s="52">
        <v>44222</v>
      </c>
      <c r="I22" s="17">
        <v>300000</v>
      </c>
      <c r="J22" s="75" t="s">
        <v>21</v>
      </c>
      <c r="K22" s="76" t="s">
        <v>46</v>
      </c>
      <c r="L22" s="77" t="s">
        <v>49</v>
      </c>
      <c r="M22" s="78" t="s">
        <v>47</v>
      </c>
      <c r="N22" s="75"/>
      <c r="O22" s="77"/>
    </row>
    <row r="23" s="1" customFormat="1" ht="18" customHeight="1" spans="1:15">
      <c r="A23" s="45">
        <v>44228</v>
      </c>
      <c r="B23" s="17">
        <f t="shared" si="7"/>
        <v>128230.09</v>
      </c>
      <c r="C23" s="47">
        <v>2</v>
      </c>
      <c r="D23" s="48" t="s">
        <v>36</v>
      </c>
      <c r="E23" s="49">
        <v>0.13</v>
      </c>
      <c r="F23" s="46">
        <f t="shared" si="9"/>
        <v>16669.91</v>
      </c>
      <c r="G23" s="27">
        <f>54900+90000</f>
        <v>144900</v>
      </c>
      <c r="H23" s="52"/>
      <c r="I23" s="17"/>
      <c r="J23" s="75"/>
      <c r="K23" s="76" t="s">
        <v>44</v>
      </c>
      <c r="L23" s="77" t="s">
        <v>50</v>
      </c>
      <c r="M23" s="80" t="s">
        <v>51</v>
      </c>
      <c r="N23" s="75"/>
      <c r="O23" s="77"/>
    </row>
    <row r="24" s="1" customFormat="1" ht="18" customHeight="1" spans="1:15">
      <c r="A24" s="45"/>
      <c r="B24" s="17">
        <f t="shared" si="7"/>
        <v>0</v>
      </c>
      <c r="C24" s="47"/>
      <c r="D24" s="48"/>
      <c r="E24" s="51"/>
      <c r="F24" s="46">
        <f t="shared" si="9"/>
        <v>0</v>
      </c>
      <c r="G24" s="27"/>
      <c r="H24" s="52">
        <v>44234</v>
      </c>
      <c r="I24" s="17">
        <v>476460.79</v>
      </c>
      <c r="J24" s="75" t="s">
        <v>21</v>
      </c>
      <c r="K24" s="76" t="s">
        <v>41</v>
      </c>
      <c r="L24" s="77" t="s">
        <v>42</v>
      </c>
      <c r="M24" s="78" t="s">
        <v>52</v>
      </c>
      <c r="N24" s="75"/>
      <c r="O24" s="77"/>
    </row>
    <row r="25" s="1" customFormat="1" ht="18" customHeight="1" spans="1:15">
      <c r="A25" s="45"/>
      <c r="B25" s="17">
        <f t="shared" si="7"/>
        <v>0</v>
      </c>
      <c r="C25" s="47"/>
      <c r="D25" s="48"/>
      <c r="E25" s="51"/>
      <c r="F25" s="46">
        <f t="shared" si="9"/>
        <v>0</v>
      </c>
      <c r="G25" s="27"/>
      <c r="H25" s="52">
        <v>44220</v>
      </c>
      <c r="I25" s="17">
        <v>-1000000</v>
      </c>
      <c r="J25" s="75" t="s">
        <v>21</v>
      </c>
      <c r="K25" s="76" t="s">
        <v>45</v>
      </c>
      <c r="L25" s="77"/>
      <c r="M25" s="78"/>
      <c r="N25" s="75"/>
      <c r="O25" s="77"/>
    </row>
    <row r="26" s="1" customFormat="1" ht="18" customHeight="1" spans="1:15">
      <c r="A26" s="45"/>
      <c r="B26" s="17">
        <f t="shared" si="7"/>
        <v>0</v>
      </c>
      <c r="C26" s="47"/>
      <c r="D26" s="48"/>
      <c r="E26" s="51"/>
      <c r="F26" s="46">
        <f t="shared" si="9"/>
        <v>0</v>
      </c>
      <c r="G26" s="27"/>
      <c r="H26" s="52">
        <v>44234</v>
      </c>
      <c r="I26" s="17">
        <v>1000000</v>
      </c>
      <c r="J26" s="75" t="s">
        <v>21</v>
      </c>
      <c r="K26" s="76" t="s">
        <v>46</v>
      </c>
      <c r="L26" s="77" t="s">
        <v>49</v>
      </c>
      <c r="M26" s="78" t="s">
        <v>47</v>
      </c>
      <c r="N26" s="75"/>
      <c r="O26" s="77" t="s">
        <v>48</v>
      </c>
    </row>
    <row r="27" s="1" customFormat="1" ht="18" customHeight="1" spans="1:15">
      <c r="A27" s="45"/>
      <c r="B27" s="17">
        <f t="shared" si="7"/>
        <v>0</v>
      </c>
      <c r="C27" s="47"/>
      <c r="D27" s="48"/>
      <c r="E27" s="51"/>
      <c r="F27" s="46">
        <f t="shared" si="9"/>
        <v>0</v>
      </c>
      <c r="G27" s="27"/>
      <c r="H27" s="52">
        <v>44236</v>
      </c>
      <c r="I27" s="17">
        <v>300000</v>
      </c>
      <c r="J27" s="75" t="s">
        <v>21</v>
      </c>
      <c r="K27" s="76" t="s">
        <v>53</v>
      </c>
      <c r="L27" s="77" t="s">
        <v>54</v>
      </c>
      <c r="M27" s="78"/>
      <c r="N27" s="75"/>
      <c r="O27" s="77"/>
    </row>
    <row r="28" s="1" customFormat="1" ht="18" customHeight="1" spans="1:15">
      <c r="A28" s="45"/>
      <c r="B28" s="17">
        <f t="shared" si="7"/>
        <v>10493</v>
      </c>
      <c r="C28" s="47"/>
      <c r="D28" s="48"/>
      <c r="E28" s="51"/>
      <c r="F28" s="46">
        <f t="shared" si="9"/>
        <v>0</v>
      </c>
      <c r="G28" s="27">
        <f>I28</f>
        <v>10493</v>
      </c>
      <c r="H28" s="52" t="s">
        <v>58</v>
      </c>
      <c r="I28" s="17">
        <v>10493</v>
      </c>
      <c r="J28" s="81" t="s">
        <v>59</v>
      </c>
      <c r="K28" s="76" t="s">
        <v>60</v>
      </c>
      <c r="L28" s="77"/>
      <c r="M28" s="78"/>
      <c r="N28" s="75"/>
      <c r="O28" s="77"/>
    </row>
    <row r="29" s="1" customFormat="1" ht="18" customHeight="1" spans="1:15">
      <c r="A29" s="45"/>
      <c r="B29" s="17">
        <f t="shared" si="7"/>
        <v>0</v>
      </c>
      <c r="C29" s="47"/>
      <c r="D29" s="48"/>
      <c r="E29" s="51"/>
      <c r="F29" s="46">
        <f t="shared" si="9"/>
        <v>0</v>
      </c>
      <c r="G29" s="27"/>
      <c r="H29" s="52" t="s">
        <v>58</v>
      </c>
      <c r="I29" s="17">
        <v>100</v>
      </c>
      <c r="J29" s="75" t="s">
        <v>59</v>
      </c>
      <c r="K29" s="76" t="s">
        <v>61</v>
      </c>
      <c r="L29" s="77"/>
      <c r="M29" s="78"/>
      <c r="N29" s="75"/>
      <c r="O29" s="77"/>
    </row>
    <row r="30" s="1" customFormat="1" ht="18" customHeight="1" spans="1:15">
      <c r="A30" s="45"/>
      <c r="B30" s="17">
        <f t="shared" si="7"/>
        <v>0</v>
      </c>
      <c r="C30" s="47"/>
      <c r="D30" s="48"/>
      <c r="E30" s="51"/>
      <c r="F30" s="46">
        <f t="shared" si="9"/>
        <v>0</v>
      </c>
      <c r="G30" s="27"/>
      <c r="H30" s="52" t="s">
        <v>62</v>
      </c>
      <c r="I30" s="46">
        <v>-242634.997614679</v>
      </c>
      <c r="J30" s="75" t="s">
        <v>63</v>
      </c>
      <c r="K30" s="76" t="s">
        <v>64</v>
      </c>
      <c r="L30" s="77"/>
      <c r="M30" s="78"/>
      <c r="N30" s="75"/>
      <c r="O30" s="77"/>
    </row>
    <row r="31" s="1" customFormat="1" ht="18" customHeight="1" spans="1:15">
      <c r="A31" s="45"/>
      <c r="B31" s="17">
        <f t="shared" si="7"/>
        <v>0</v>
      </c>
      <c r="C31" s="47"/>
      <c r="D31" s="48"/>
      <c r="E31" s="51"/>
      <c r="F31" s="46">
        <f t="shared" si="9"/>
        <v>0</v>
      </c>
      <c r="G31" s="27"/>
      <c r="H31" s="52" t="s">
        <v>62</v>
      </c>
      <c r="I31" s="46">
        <v>-10000</v>
      </c>
      <c r="J31" s="75" t="s">
        <v>63</v>
      </c>
      <c r="K31" s="76" t="s">
        <v>65</v>
      </c>
      <c r="L31" s="77"/>
      <c r="M31" s="78"/>
      <c r="N31" s="75"/>
      <c r="O31" s="77"/>
    </row>
    <row r="32" s="1" customFormat="1" ht="18" customHeight="1" spans="1:15">
      <c r="A32" s="45"/>
      <c r="B32" s="17">
        <f t="shared" si="7"/>
        <v>0</v>
      </c>
      <c r="C32" s="47"/>
      <c r="D32" s="48"/>
      <c r="E32" s="51"/>
      <c r="F32" s="46">
        <f t="shared" si="9"/>
        <v>0</v>
      </c>
      <c r="G32" s="27"/>
      <c r="H32" s="52" t="s">
        <v>62</v>
      </c>
      <c r="I32" s="46">
        <v>-26206.3666495412</v>
      </c>
      <c r="J32" s="75" t="s">
        <v>63</v>
      </c>
      <c r="K32" s="76" t="s">
        <v>66</v>
      </c>
      <c r="L32" s="77"/>
      <c r="M32" s="78"/>
      <c r="N32" s="75"/>
      <c r="O32" s="77"/>
    </row>
    <row r="33" s="1" customFormat="1" ht="18" customHeight="1" spans="1:15">
      <c r="A33" s="45"/>
      <c r="B33" s="17">
        <f t="shared" si="7"/>
        <v>0</v>
      </c>
      <c r="C33" s="47"/>
      <c r="D33" s="48"/>
      <c r="E33" s="51"/>
      <c r="F33" s="46">
        <f t="shared" si="9"/>
        <v>0</v>
      </c>
      <c r="G33" s="27"/>
      <c r="H33" s="52" t="s">
        <v>62</v>
      </c>
      <c r="I33" s="46">
        <v>220183.486238531</v>
      </c>
      <c r="J33" s="81" t="s">
        <v>67</v>
      </c>
      <c r="K33" s="76" t="s">
        <v>64</v>
      </c>
      <c r="L33" s="77"/>
      <c r="M33" s="78"/>
      <c r="N33" s="75"/>
      <c r="O33" s="77"/>
    </row>
    <row r="34" s="1" customFormat="1" ht="18" customHeight="1" spans="1:15">
      <c r="A34" s="45"/>
      <c r="B34" s="17">
        <f t="shared" si="7"/>
        <v>0</v>
      </c>
      <c r="C34" s="47"/>
      <c r="D34" s="48"/>
      <c r="E34" s="51"/>
      <c r="F34" s="46">
        <f t="shared" ref="F33:F37" si="10">ROUND(G34/(1+E34)*E34,2)</f>
        <v>0</v>
      </c>
      <c r="G34" s="27"/>
      <c r="H34" s="52" t="s">
        <v>62</v>
      </c>
      <c r="I34" s="82">
        <v>22500</v>
      </c>
      <c r="J34" s="83" t="s">
        <v>59</v>
      </c>
      <c r="K34" s="84" t="s">
        <v>68</v>
      </c>
      <c r="L34" s="77"/>
      <c r="M34" s="78"/>
      <c r="N34" s="75"/>
      <c r="O34" s="77"/>
    </row>
    <row r="35" s="1" customFormat="1" ht="18" customHeight="1" spans="1:15">
      <c r="A35" s="45"/>
      <c r="B35" s="17">
        <f t="shared" ref="B35:B46" si="11">ROUND(G35/(1+E35),2)</f>
        <v>10000</v>
      </c>
      <c r="C35" s="47"/>
      <c r="D35" s="48"/>
      <c r="E35" s="51"/>
      <c r="F35" s="46">
        <f t="shared" si="10"/>
        <v>0</v>
      </c>
      <c r="G35" s="27">
        <f>I35</f>
        <v>10000</v>
      </c>
      <c r="H35" s="52" t="s">
        <v>62</v>
      </c>
      <c r="I35" s="17">
        <v>10000</v>
      </c>
      <c r="J35" s="81" t="s">
        <v>59</v>
      </c>
      <c r="K35" s="76" t="s">
        <v>60</v>
      </c>
      <c r="L35" s="77"/>
      <c r="M35" s="78"/>
      <c r="N35" s="75"/>
      <c r="O35" s="77"/>
    </row>
    <row r="36" s="1" customFormat="1" ht="18" customHeight="1" spans="1:16">
      <c r="A36" s="45"/>
      <c r="B36" s="17">
        <f t="shared" si="11"/>
        <v>0</v>
      </c>
      <c r="C36" s="47"/>
      <c r="D36" s="48"/>
      <c r="E36" s="51"/>
      <c r="F36" s="46">
        <f t="shared" si="10"/>
        <v>0</v>
      </c>
      <c r="G36" s="27"/>
      <c r="H36" s="52" t="s">
        <v>62</v>
      </c>
      <c r="I36" s="46">
        <v>10000</v>
      </c>
      <c r="J36" s="75" t="s">
        <v>59</v>
      </c>
      <c r="K36" s="76" t="s">
        <v>69</v>
      </c>
      <c r="L36" s="77"/>
      <c r="M36" s="78"/>
      <c r="N36" s="75"/>
      <c r="O36" s="77"/>
      <c r="P36" s="1">
        <f>SUM(I14:I18)+I20+I22+I24</f>
        <v>4152860.79</v>
      </c>
    </row>
    <row r="37" s="1" customFormat="1" ht="18" customHeight="1" spans="1:15">
      <c r="A37" s="45"/>
      <c r="B37" s="17">
        <f t="shared" si="11"/>
        <v>0</v>
      </c>
      <c r="C37" s="47"/>
      <c r="D37" s="48"/>
      <c r="E37" s="51"/>
      <c r="F37" s="46">
        <f t="shared" si="10"/>
        <v>0</v>
      </c>
      <c r="G37" s="27"/>
      <c r="H37" s="52" t="s">
        <v>62</v>
      </c>
      <c r="I37" s="46">
        <v>26206.3666495412</v>
      </c>
      <c r="J37" s="75" t="s">
        <v>59</v>
      </c>
      <c r="K37" s="76" t="s">
        <v>66</v>
      </c>
      <c r="L37" s="77"/>
      <c r="M37" s="78"/>
      <c r="N37" s="75"/>
      <c r="O37" s="77"/>
    </row>
    <row r="38" s="1" customFormat="1" ht="18" customHeight="1" spans="1:15">
      <c r="A38" s="45"/>
      <c r="B38" s="17">
        <f t="shared" si="11"/>
        <v>0</v>
      </c>
      <c r="C38" s="47"/>
      <c r="D38" s="48"/>
      <c r="E38" s="51"/>
      <c r="F38" s="46">
        <f t="shared" ref="F35:F41" si="12">ROUND(G38/(1+E38)*E38,2)</f>
        <v>0</v>
      </c>
      <c r="G38" s="27"/>
      <c r="H38" s="52" t="s">
        <v>62</v>
      </c>
      <c r="I38" s="46">
        <v>400</v>
      </c>
      <c r="J38" s="75" t="s">
        <v>59</v>
      </c>
      <c r="K38" s="76" t="s">
        <v>61</v>
      </c>
      <c r="L38" s="77"/>
      <c r="M38" s="78"/>
      <c r="N38" s="75"/>
      <c r="O38" s="77"/>
    </row>
    <row r="39" s="1" customFormat="1" ht="18" customHeight="1" spans="1:15">
      <c r="A39" s="45"/>
      <c r="B39" s="17">
        <f t="shared" si="11"/>
        <v>0</v>
      </c>
      <c r="C39" s="47"/>
      <c r="D39" s="48"/>
      <c r="E39" s="51"/>
      <c r="F39" s="46">
        <f t="shared" si="12"/>
        <v>0</v>
      </c>
      <c r="G39" s="27"/>
      <c r="H39" s="50" t="s">
        <v>70</v>
      </c>
      <c r="I39" s="46">
        <v>100</v>
      </c>
      <c r="J39" s="75" t="s">
        <v>59</v>
      </c>
      <c r="K39" s="76" t="s">
        <v>61</v>
      </c>
      <c r="L39" s="77"/>
      <c r="M39" s="78"/>
      <c r="N39" s="75"/>
      <c r="O39" s="77"/>
    </row>
    <row r="40" s="1" customFormat="1" ht="18" customHeight="1" spans="1:15">
      <c r="A40" s="45"/>
      <c r="B40" s="17">
        <f t="shared" si="11"/>
        <v>0</v>
      </c>
      <c r="C40" s="47"/>
      <c r="D40" s="48"/>
      <c r="E40" s="51"/>
      <c r="F40" s="46">
        <f t="shared" si="12"/>
        <v>0</v>
      </c>
      <c r="G40" s="27"/>
      <c r="H40" s="50" t="s">
        <v>70</v>
      </c>
      <c r="I40" s="25">
        <v>-211165.488623852</v>
      </c>
      <c r="J40" s="81" t="s">
        <v>63</v>
      </c>
      <c r="K40" s="76" t="s">
        <v>71</v>
      </c>
      <c r="L40" s="77"/>
      <c r="M40" s="78"/>
      <c r="N40" s="75"/>
      <c r="O40" s="77"/>
    </row>
    <row r="41" s="1" customFormat="1" ht="18" customHeight="1" spans="1:15">
      <c r="A41" s="45"/>
      <c r="B41" s="17">
        <f t="shared" si="11"/>
        <v>0</v>
      </c>
      <c r="C41" s="47"/>
      <c r="D41" s="48"/>
      <c r="E41" s="51"/>
      <c r="F41" s="46">
        <f t="shared" si="12"/>
        <v>0</v>
      </c>
      <c r="G41" s="27"/>
      <c r="H41" s="50" t="s">
        <v>70</v>
      </c>
      <c r="I41" s="46">
        <v>50</v>
      </c>
      <c r="J41" s="75" t="s">
        <v>59</v>
      </c>
      <c r="K41" s="76" t="s">
        <v>61</v>
      </c>
      <c r="L41" s="77"/>
      <c r="M41" s="78"/>
      <c r="N41" s="75"/>
      <c r="O41" s="77"/>
    </row>
    <row r="42" s="1" customFormat="1" ht="18" customHeight="1" spans="1:18">
      <c r="A42" s="45"/>
      <c r="B42" s="17">
        <f t="shared" si="11"/>
        <v>0</v>
      </c>
      <c r="C42" s="47"/>
      <c r="D42" s="48"/>
      <c r="E42" s="51"/>
      <c r="F42" s="17">
        <f t="shared" ref="F41:F44" si="13">ROUND(G42/(1+E42)*E42,2)</f>
        <v>0</v>
      </c>
      <c r="G42" s="27"/>
      <c r="H42" s="50" t="s">
        <v>70</v>
      </c>
      <c r="I42" s="46">
        <v>200</v>
      </c>
      <c r="J42" s="75" t="s">
        <v>59</v>
      </c>
      <c r="K42" s="76" t="s">
        <v>61</v>
      </c>
      <c r="L42" s="77"/>
      <c r="M42" s="75"/>
      <c r="N42" s="75"/>
      <c r="O42" s="77"/>
      <c r="R42" s="1" t="s">
        <v>9</v>
      </c>
    </row>
    <row r="43" s="1" customFormat="1" ht="18" customHeight="1" spans="1:15">
      <c r="A43" s="45"/>
      <c r="B43" s="17">
        <f t="shared" si="11"/>
        <v>0</v>
      </c>
      <c r="C43" s="47"/>
      <c r="D43" s="48"/>
      <c r="E43" s="51"/>
      <c r="F43" s="17">
        <f t="shared" si="13"/>
        <v>0</v>
      </c>
      <c r="G43" s="27"/>
      <c r="H43" s="50" t="s">
        <v>70</v>
      </c>
      <c r="I43" s="25">
        <v>233617</v>
      </c>
      <c r="J43" s="81" t="s">
        <v>67</v>
      </c>
      <c r="K43" s="76" t="s">
        <v>72</v>
      </c>
      <c r="L43" s="77"/>
      <c r="M43" s="75"/>
      <c r="N43" s="75"/>
      <c r="O43" s="77"/>
    </row>
    <row r="44" s="1" customFormat="1" ht="18" customHeight="1" spans="1:15">
      <c r="A44" s="45"/>
      <c r="B44" s="17">
        <f t="shared" si="11"/>
        <v>0</v>
      </c>
      <c r="C44" s="47"/>
      <c r="D44" s="48"/>
      <c r="E44" s="51"/>
      <c r="F44" s="17">
        <f t="shared" si="13"/>
        <v>0</v>
      </c>
      <c r="G44" s="27"/>
      <c r="H44" s="50" t="s">
        <v>70</v>
      </c>
      <c r="I44" s="25">
        <v>595</v>
      </c>
      <c r="J44" s="81" t="s">
        <v>59</v>
      </c>
      <c r="K44" s="76" t="s">
        <v>73</v>
      </c>
      <c r="L44" s="77"/>
      <c r="M44" s="75"/>
      <c r="N44" s="75"/>
      <c r="O44" s="77"/>
    </row>
    <row r="45" s="1" customFormat="1" ht="18" customHeight="1" spans="1:15">
      <c r="A45" s="45"/>
      <c r="B45" s="17">
        <f t="shared" si="11"/>
        <v>0</v>
      </c>
      <c r="C45" s="47"/>
      <c r="D45" s="48"/>
      <c r="E45" s="51"/>
      <c r="F45" s="17">
        <f t="shared" ref="F42:F47" si="14">ROUND(G45/(1+E45)*E45,2)</f>
        <v>0</v>
      </c>
      <c r="G45" s="27"/>
      <c r="H45" s="50" t="s">
        <v>70</v>
      </c>
      <c r="I45" s="25">
        <v>10800</v>
      </c>
      <c r="J45" s="81" t="s">
        <v>59</v>
      </c>
      <c r="K45" s="76" t="s">
        <v>74</v>
      </c>
      <c r="L45" s="77"/>
      <c r="M45" s="75"/>
      <c r="N45" s="75"/>
      <c r="O45" s="77"/>
    </row>
    <row r="46" s="1" customFormat="1" ht="18" customHeight="1" spans="1:15">
      <c r="A46" s="45"/>
      <c r="B46" s="17">
        <f t="shared" si="11"/>
        <v>10800</v>
      </c>
      <c r="C46" s="47"/>
      <c r="D46" s="48"/>
      <c r="E46" s="51"/>
      <c r="F46" s="17">
        <f t="shared" si="14"/>
        <v>0</v>
      </c>
      <c r="G46" s="27">
        <v>10800</v>
      </c>
      <c r="H46" s="50" t="s">
        <v>70</v>
      </c>
      <c r="I46" s="25">
        <f>G46</f>
        <v>10800</v>
      </c>
      <c r="J46" s="81" t="s">
        <v>59</v>
      </c>
      <c r="K46" s="76" t="s">
        <v>60</v>
      </c>
      <c r="L46" s="77"/>
      <c r="M46" s="75"/>
      <c r="N46" s="75"/>
      <c r="O46" s="77"/>
    </row>
    <row r="47" s="1" customFormat="1" ht="18" customHeight="1" spans="1:15">
      <c r="A47" s="45"/>
      <c r="B47" s="17">
        <f t="shared" ref="B46:B52" si="15">ROUND(G47/(1+E47),2)</f>
        <v>0</v>
      </c>
      <c r="C47" s="47"/>
      <c r="D47" s="48"/>
      <c r="E47" s="51"/>
      <c r="F47" s="17">
        <f t="shared" si="14"/>
        <v>0</v>
      </c>
      <c r="G47" s="27"/>
      <c r="H47" s="50" t="s">
        <v>75</v>
      </c>
      <c r="I47" s="25">
        <v>10000</v>
      </c>
      <c r="J47" s="81" t="s">
        <v>59</v>
      </c>
      <c r="K47" s="76" t="s">
        <v>74</v>
      </c>
      <c r="L47" s="77"/>
      <c r="M47" s="75"/>
      <c r="N47" s="75"/>
      <c r="O47" s="77"/>
    </row>
    <row r="48" s="1" customFormat="1" ht="18" customHeight="1" spans="1:16">
      <c r="A48" s="45"/>
      <c r="B48" s="17">
        <f t="shared" si="15"/>
        <v>10000</v>
      </c>
      <c r="C48" s="47"/>
      <c r="D48" s="48"/>
      <c r="E48" s="51"/>
      <c r="F48" s="17">
        <f t="shared" ref="F46:F52" si="16">ROUND(G48/(1+E48)*E48,2)</f>
        <v>0</v>
      </c>
      <c r="G48" s="27">
        <f>I7*0.01</f>
        <v>10000</v>
      </c>
      <c r="H48" s="22" t="s">
        <v>75</v>
      </c>
      <c r="I48" s="25">
        <f>G48</f>
        <v>10000</v>
      </c>
      <c r="J48" s="81" t="s">
        <v>59</v>
      </c>
      <c r="K48" s="76" t="s">
        <v>60</v>
      </c>
      <c r="L48" s="77"/>
      <c r="M48" s="75"/>
      <c r="N48" s="75"/>
      <c r="O48" s="77"/>
      <c r="P48" s="1" t="s">
        <v>9</v>
      </c>
    </row>
    <row r="49" s="1" customFormat="1" ht="18" customHeight="1" spans="1:15">
      <c r="A49" s="45"/>
      <c r="B49" s="17">
        <f t="shared" si="15"/>
        <v>0</v>
      </c>
      <c r="C49" s="47"/>
      <c r="D49" s="48"/>
      <c r="E49" s="51"/>
      <c r="F49" s="17">
        <f t="shared" si="16"/>
        <v>0</v>
      </c>
      <c r="G49" s="27"/>
      <c r="H49" s="22" t="s">
        <v>75</v>
      </c>
      <c r="I49" s="25">
        <v>-230000</v>
      </c>
      <c r="J49" s="81" t="s">
        <v>63</v>
      </c>
      <c r="K49" s="76" t="s">
        <v>76</v>
      </c>
      <c r="L49" s="77"/>
      <c r="M49" s="75"/>
      <c r="N49" s="75"/>
      <c r="O49" s="77"/>
    </row>
    <row r="50" s="1" customFormat="1" ht="18" customHeight="1" spans="1:15">
      <c r="A50" s="45"/>
      <c r="B50" s="17">
        <f t="shared" si="15"/>
        <v>0</v>
      </c>
      <c r="C50" s="47"/>
      <c r="D50" s="48"/>
      <c r="E50" s="51"/>
      <c r="F50" s="17">
        <f t="shared" si="16"/>
        <v>0</v>
      </c>
      <c r="G50" s="27"/>
      <c r="H50" s="22" t="s">
        <v>75</v>
      </c>
      <c r="I50" s="25">
        <v>230000</v>
      </c>
      <c r="J50" s="81" t="s">
        <v>67</v>
      </c>
      <c r="K50" s="76" t="s">
        <v>77</v>
      </c>
      <c r="L50" s="77"/>
      <c r="M50" s="75"/>
      <c r="N50" s="75"/>
      <c r="O50" s="77"/>
    </row>
    <row r="51" s="1" customFormat="1" ht="18" customHeight="1" spans="1:15">
      <c r="A51" s="45"/>
      <c r="B51" s="17">
        <f t="shared" si="15"/>
        <v>0</v>
      </c>
      <c r="C51" s="47"/>
      <c r="D51" s="48"/>
      <c r="E51" s="51"/>
      <c r="F51" s="17">
        <f t="shared" si="16"/>
        <v>0</v>
      </c>
      <c r="G51" s="27"/>
      <c r="H51" s="22" t="s">
        <v>75</v>
      </c>
      <c r="I51" s="25">
        <v>551</v>
      </c>
      <c r="J51" s="81" t="s">
        <v>59</v>
      </c>
      <c r="K51" s="76" t="s">
        <v>73</v>
      </c>
      <c r="L51" s="77"/>
      <c r="M51" s="75"/>
      <c r="N51" s="75"/>
      <c r="O51" s="77"/>
    </row>
    <row r="52" s="1" customFormat="1" ht="18" customHeight="1" spans="1:15">
      <c r="A52" s="45"/>
      <c r="B52" s="17">
        <f t="shared" si="15"/>
        <v>0</v>
      </c>
      <c r="C52" s="47"/>
      <c r="D52" s="48"/>
      <c r="E52" s="51"/>
      <c r="F52" s="17">
        <f t="shared" si="16"/>
        <v>0</v>
      </c>
      <c r="G52" s="27"/>
      <c r="H52" s="22" t="s">
        <v>75</v>
      </c>
      <c r="I52" s="25">
        <v>70643</v>
      </c>
      <c r="J52" s="81" t="s">
        <v>59</v>
      </c>
      <c r="K52" s="76" t="s">
        <v>79</v>
      </c>
      <c r="M52" s="75"/>
      <c r="N52" s="75"/>
      <c r="O52" s="77"/>
    </row>
    <row r="53" ht="18" customHeight="1" spans="1:15">
      <c r="A53" s="35" t="s">
        <v>22</v>
      </c>
      <c r="B53" s="34">
        <f t="shared" ref="B53:G53" si="17">SUM(B14:B52)</f>
        <v>4459650.99</v>
      </c>
      <c r="C53" s="35"/>
      <c r="D53" s="53"/>
      <c r="E53" s="53"/>
      <c r="F53" s="37">
        <f t="shared" si="17"/>
        <v>358042.01</v>
      </c>
      <c r="G53" s="54">
        <f t="shared" si="17"/>
        <v>4817693</v>
      </c>
      <c r="H53" s="55"/>
      <c r="I53" s="36">
        <f>SUM(I14:I52)</f>
        <v>2810092.79</v>
      </c>
      <c r="J53" s="85"/>
      <c r="K53" s="53"/>
      <c r="L53" s="38"/>
      <c r="M53" s="81"/>
      <c r="N53" s="81"/>
      <c r="O53" s="38"/>
    </row>
    <row r="54" ht="18" customHeight="1" spans="1:14">
      <c r="A54" s="56" t="s">
        <v>80</v>
      </c>
      <c r="B54" s="57">
        <f>B11*0.96</f>
        <v>3636814.67889908</v>
      </c>
      <c r="C54" s="56"/>
      <c r="D54" s="58"/>
      <c r="E54" s="58"/>
      <c r="F54" s="57"/>
      <c r="G54" s="57">
        <f>G11-G53</f>
        <v>-688393</v>
      </c>
      <c r="H54" s="21" t="s">
        <v>81</v>
      </c>
      <c r="I54" s="36">
        <f>I11-I53</f>
        <v>1319207.21</v>
      </c>
      <c r="J54" s="6"/>
      <c r="K54" s="86"/>
      <c r="M54" s="87"/>
      <c r="N54" s="87"/>
    </row>
    <row r="55" ht="18" customHeight="1" spans="1:14">
      <c r="A55" s="56" t="s">
        <v>82</v>
      </c>
      <c r="B55" s="57">
        <f>B54-B53</f>
        <v>-822836.31110092</v>
      </c>
      <c r="C55" s="56"/>
      <c r="D55" s="58"/>
      <c r="E55" s="58"/>
      <c r="F55" s="57"/>
      <c r="G55" s="57"/>
      <c r="H55" s="59"/>
      <c r="I55" s="57"/>
      <c r="J55" s="6"/>
      <c r="K55" s="86"/>
      <c r="M55" s="87"/>
      <c r="N55" s="87"/>
    </row>
    <row r="56" ht="18" customHeight="1" spans="1:11">
      <c r="A56" s="2" t="s">
        <v>83</v>
      </c>
      <c r="C56" s="2"/>
      <c r="K56" s="6">
        <f>I50+I49+I43+I40+I33+I30</f>
        <v>0</v>
      </c>
    </row>
    <row r="57" ht="18" customHeight="1" spans="1:11">
      <c r="A57" s="21" t="s">
        <v>84</v>
      </c>
      <c r="B57" s="20" t="s">
        <v>85</v>
      </c>
      <c r="C57" s="38"/>
      <c r="D57" s="21" t="s">
        <v>84</v>
      </c>
      <c r="E57" s="19" t="s">
        <v>16</v>
      </c>
      <c r="F57" s="60" t="s">
        <v>85</v>
      </c>
      <c r="G57" s="61" t="s">
        <v>86</v>
      </c>
      <c r="H57" s="11" t="s">
        <v>87</v>
      </c>
      <c r="I57" s="11" t="s">
        <v>88</v>
      </c>
      <c r="K57" s="11" t="s">
        <v>9</v>
      </c>
    </row>
    <row r="58" ht="18" customHeight="1" spans="1:9">
      <c r="A58" s="38" t="s">
        <v>90</v>
      </c>
      <c r="B58" s="17">
        <f>(B54-B53)*0.25</f>
        <v>-205709.07777523</v>
      </c>
      <c r="C58" s="38"/>
      <c r="D58" s="33" t="s">
        <v>91</v>
      </c>
      <c r="E58" s="21" t="s">
        <v>92</v>
      </c>
      <c r="F58" s="62">
        <f>F11-F53</f>
        <v>-92857.606330275</v>
      </c>
      <c r="G58" s="61">
        <f>F7</f>
        <v>64220.1834862385</v>
      </c>
      <c r="H58" s="11">
        <v>0</v>
      </c>
      <c r="I58" s="11">
        <f>SUM(F8:F9)-SUM(F14:F16)</f>
        <v>23398.5416513761</v>
      </c>
    </row>
    <row r="59" ht="18" customHeight="1" spans="1:9">
      <c r="A59" s="38" t="s">
        <v>93</v>
      </c>
      <c r="B59" s="63" t="s">
        <v>94</v>
      </c>
      <c r="C59" s="38"/>
      <c r="D59" s="64" t="s">
        <v>95</v>
      </c>
      <c r="E59" s="13">
        <v>0.05</v>
      </c>
      <c r="F59" s="61">
        <f>F58*E59</f>
        <v>-4642.88031651375</v>
      </c>
      <c r="G59" s="61">
        <f>G58*E59</f>
        <v>3211.00917431193</v>
      </c>
      <c r="H59" s="11">
        <v>0</v>
      </c>
      <c r="I59" s="11"/>
    </row>
    <row r="60" ht="18" customHeight="1" spans="1:9">
      <c r="A60" s="38"/>
      <c r="B60" s="63"/>
      <c r="C60" s="38"/>
      <c r="D60" s="65"/>
      <c r="E60" s="13">
        <v>0.07</v>
      </c>
      <c r="F60" s="61"/>
      <c r="G60" s="61"/>
      <c r="H60" s="11"/>
      <c r="I60" s="11">
        <f>I58*E60</f>
        <v>1637.89791559633</v>
      </c>
    </row>
    <row r="61" ht="18" customHeight="1" spans="1:9">
      <c r="A61" s="38" t="s">
        <v>73</v>
      </c>
      <c r="B61" s="63"/>
      <c r="C61" s="38"/>
      <c r="D61" s="66" t="s">
        <v>96</v>
      </c>
      <c r="E61" s="13">
        <v>0.03</v>
      </c>
      <c r="F61" s="61">
        <f>F58*E61</f>
        <v>-2785.72818990825</v>
      </c>
      <c r="G61" s="61">
        <f>G58*E61</f>
        <v>1926.60550458715</v>
      </c>
      <c r="H61" s="11">
        <v>0</v>
      </c>
      <c r="I61" s="11">
        <f>I58*E61</f>
        <v>701.956249541283</v>
      </c>
    </row>
    <row r="62" ht="18" customHeight="1" spans="1:9">
      <c r="A62" s="38"/>
      <c r="B62" s="23"/>
      <c r="C62" s="38"/>
      <c r="D62" s="66" t="s">
        <v>97</v>
      </c>
      <c r="E62" s="13">
        <v>0.02</v>
      </c>
      <c r="F62" s="61">
        <f>F58*E62</f>
        <v>-1857.1521266055</v>
      </c>
      <c r="G62" s="61">
        <f>G58*E62</f>
        <v>1284.40366972477</v>
      </c>
      <c r="H62" s="11">
        <v>0</v>
      </c>
      <c r="I62" s="11">
        <f>I58*E62</f>
        <v>467.970833027522</v>
      </c>
    </row>
    <row r="63" ht="18" customHeight="1" spans="1:9">
      <c r="A63" s="33" t="s">
        <v>98</v>
      </c>
      <c r="B63" s="34">
        <f t="shared" ref="B63:G63" si="18">SUM(B58:B62)</f>
        <v>-205709.07777523</v>
      </c>
      <c r="C63" s="38"/>
      <c r="D63" s="39" t="s">
        <v>98</v>
      </c>
      <c r="E63" s="33"/>
      <c r="F63" s="62">
        <f t="shared" si="18"/>
        <v>-102143.366963302</v>
      </c>
      <c r="G63" s="54">
        <f t="shared" si="18"/>
        <v>70642.2018348624</v>
      </c>
      <c r="H63" s="11">
        <v>0</v>
      </c>
      <c r="I63" s="11">
        <f>SUM(I58:I62)</f>
        <v>26206.3666495412</v>
      </c>
    </row>
    <row r="64" ht="18" customHeight="1" spans="3:9">
      <c r="C64" s="2"/>
      <c r="D64" s="67" t="s">
        <v>90</v>
      </c>
      <c r="E64" s="68">
        <v>0.01</v>
      </c>
      <c r="F64" s="69">
        <f>G11*E64</f>
        <v>41293</v>
      </c>
      <c r="G64" s="61">
        <f>G7*E64</f>
        <v>10000</v>
      </c>
      <c r="H64" s="11">
        <f>G8*E64</f>
        <v>10800</v>
      </c>
      <c r="I64" s="11">
        <f>G9*E64</f>
        <v>10000</v>
      </c>
    </row>
    <row r="65" ht="18" customHeight="1" spans="3:9">
      <c r="C65" s="2"/>
      <c r="D65" s="38" t="s">
        <v>93</v>
      </c>
      <c r="E65" s="88">
        <v>0.0003</v>
      </c>
      <c r="F65" s="69"/>
      <c r="G65" s="61" t="s">
        <v>94</v>
      </c>
      <c r="H65" s="11" t="s">
        <v>94</v>
      </c>
      <c r="I65" s="11"/>
    </row>
    <row r="66" ht="18" customHeight="1" spans="3:9">
      <c r="C66" s="2"/>
      <c r="D66" s="11" t="s">
        <v>73</v>
      </c>
      <c r="E66" s="88">
        <v>0.0006</v>
      </c>
      <c r="F66" s="61">
        <f>B11*E66</f>
        <v>2273.00917431193</v>
      </c>
      <c r="G66" s="61">
        <f>B7*0.0006</f>
        <v>550.45871559633</v>
      </c>
      <c r="H66" s="11">
        <f>B8*E66</f>
        <v>594.495412844036</v>
      </c>
      <c r="I66" s="11"/>
    </row>
    <row r="67" ht="18" customHeight="1" spans="3:9">
      <c r="C67" s="2"/>
      <c r="D67" s="11" t="s">
        <v>99</v>
      </c>
      <c r="E67" s="11">
        <v>0.25</v>
      </c>
      <c r="F67" s="61"/>
      <c r="G67" s="61"/>
      <c r="H67" s="11">
        <v>22451.511376148</v>
      </c>
      <c r="I67" s="11">
        <f>B55*0.25-H67</f>
        <v>-228160.589151378</v>
      </c>
    </row>
    <row r="68" ht="18" customHeight="1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</sheetData>
  <mergeCells count="9">
    <mergeCell ref="A1:J1"/>
    <mergeCell ref="H2:J2"/>
    <mergeCell ref="C5:D5"/>
    <mergeCell ref="E5:F5"/>
    <mergeCell ref="H5:J5"/>
    <mergeCell ref="A5:A6"/>
    <mergeCell ref="B5:B6"/>
    <mergeCell ref="D59:D60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2021-04-23T05:56:13Z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3FC6B9E85AB344DF86716AD6C1A77239</vt:lpwstr>
  </property>
</Properties>
</file>