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3" r:id="rId1"/>
    <sheet name="旧" sheetId="1" r:id="rId2"/>
    <sheet name="销货单位货品明细" sheetId="2" r:id="rId3"/>
  </sheets>
  <definedNames>
    <definedName name="_xlnm._FilterDatabase" localSheetId="0" hidden="1">新!$A$13:$O$95</definedName>
    <definedName name="_xlnm._FilterDatabase" localSheetId="1" hidden="1">旧!$A$13:$V$81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I44" authorId="0">
      <text>
        <r>
          <rPr>
            <sz val="9"/>
            <rFont val="宋体"/>
            <charset val="134"/>
          </rPr>
          <t>cw09:
实际借款20w</t>
        </r>
      </text>
    </comment>
    <comment ref="A8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8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8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I44" authorId="0">
      <text>
        <r>
          <rPr>
            <sz val="9"/>
            <rFont val="宋体"/>
            <charset val="134"/>
          </rPr>
          <t>cw09:
实际借款20w</t>
        </r>
      </text>
    </comment>
    <comment ref="A6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7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7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<sst xmlns="http://schemas.openxmlformats.org/spreadsheetml/2006/main" count="572" uniqueCount="155">
  <si>
    <t>亚洲开发银行贷款宁夏六盘山扶贫农村公路发展项目将台-兴平（宁夏西吉县西吉至平峰公路项目）</t>
  </si>
  <si>
    <t>中标日期</t>
  </si>
  <si>
    <t>中标价</t>
  </si>
  <si>
    <t>负责人</t>
  </si>
  <si>
    <t>董芳清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</si>
  <si>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</si>
  <si>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</si>
  <si>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</si>
  <si>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</si>
  <si>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</si>
  <si>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</si>
  <si>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</si>
  <si>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</si>
  <si>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</si>
  <si>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</si>
  <si>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</si>
  <si>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</si>
  <si>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</si>
  <si>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</si>
  <si>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</si>
  <si>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</si>
  <si>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</si>
  <si>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</si>
  <si>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</si>
  <si>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</si>
  <si>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</si>
  <si>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</si>
  <si>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</si>
  <si>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</si>
  <si>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</si>
  <si>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</si>
  <si>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</si>
  <si>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</si>
  <si>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</si>
  <si>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</si>
  <si>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</si>
  <si>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</si>
  <si>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安徽水乔建设工程有限公司</t>
  </si>
  <si>
    <t>工程服务</t>
  </si>
  <si>
    <t>宁夏宝庆实业有限公司</t>
  </si>
  <si>
    <t>柴油</t>
  </si>
  <si>
    <t>专</t>
  </si>
  <si>
    <t>前海富民（深圳）非融资性担保有限公司</t>
  </si>
  <si>
    <t>担保费</t>
  </si>
  <si>
    <t>宁夏锦隆工程试验检测有限公司</t>
  </si>
  <si>
    <t>试验检测费</t>
  </si>
  <si>
    <t>2020-485#</t>
  </si>
  <si>
    <t>2020-469#</t>
  </si>
  <si>
    <t>中金工程咨询（北京）有限责任公司</t>
  </si>
  <si>
    <t>咨询费</t>
  </si>
  <si>
    <t>中金招标有限责任公司银川分公司</t>
  </si>
  <si>
    <t>代理费</t>
  </si>
  <si>
    <t>中国人寿财产保险股份有限公司宁夏回族自治区分公司</t>
  </si>
  <si>
    <t>保险费</t>
  </si>
  <si>
    <t>宁夏锦隆工程试验有限公司</t>
  </si>
  <si>
    <t>检测费用</t>
  </si>
  <si>
    <t>普</t>
  </si>
  <si>
    <t>孙健</t>
  </si>
  <si>
    <t>车辆加油、过路费</t>
  </si>
  <si>
    <t>总里程1000公里</t>
  </si>
  <si>
    <t>6217 8663 0000 0714 221</t>
  </si>
  <si>
    <t>从工程款内扣除2020.7.23</t>
  </si>
  <si>
    <t>中国银行</t>
  </si>
  <si>
    <t>程尧</t>
  </si>
  <si>
    <t>合作人借款（借智宏款做周转金）</t>
  </si>
  <si>
    <t>2020.9.7</t>
  </si>
  <si>
    <t xml:space="preserve">西吉县万祥水泥制管厂 </t>
  </si>
  <si>
    <t>管涵费</t>
  </si>
  <si>
    <t>2020-526# 300860元</t>
  </si>
  <si>
    <t>缺货单</t>
  </si>
  <si>
    <t xml:space="preserve">宁夏宝庆实业有限公司 </t>
  </si>
  <si>
    <t>柴油费</t>
  </si>
  <si>
    <t>宁夏金路安公路工程有限公司</t>
  </si>
  <si>
    <t>桥梁预付款</t>
  </si>
  <si>
    <t>安徽水乔建设委托付给金路安</t>
  </si>
  <si>
    <t>合肥畅宇工程材料有限公司</t>
  </si>
  <si>
    <t>土工格栅</t>
  </si>
  <si>
    <t>2020-580#   37500元</t>
  </si>
  <si>
    <t>2020-573# 2922743.46元</t>
  </si>
  <si>
    <t>安徽雄狮建筑劳务有限公司</t>
  </si>
  <si>
    <t>机械租赁</t>
  </si>
  <si>
    <t>2021-023# 274084元</t>
  </si>
  <si>
    <t>劳务费</t>
  </si>
  <si>
    <t>2021-037#  1337302.21元</t>
  </si>
  <si>
    <t>开票超合同价</t>
  </si>
  <si>
    <t>宁夏正兴通公路养护有限公司</t>
  </si>
  <si>
    <t>2020-709#  280800元</t>
  </si>
  <si>
    <t>银川市兴庆区腾跃飞扬仪器经营部</t>
  </si>
  <si>
    <t>测量费</t>
  </si>
  <si>
    <t>2020-639#  60000元</t>
  </si>
  <si>
    <t>合同原件暂未收到</t>
  </si>
  <si>
    <t>宁夏泰昇泽贸易有限公司</t>
  </si>
  <si>
    <t>运输费</t>
  </si>
  <si>
    <t>2020-842# 2950000元</t>
  </si>
  <si>
    <t>合作人借款（借昌达款做周转金）</t>
  </si>
  <si>
    <t>20.11.11</t>
  </si>
  <si>
    <t>西安格拉瑞斯金属制品有限公司</t>
  </si>
  <si>
    <t>波纹管</t>
  </si>
  <si>
    <t>2020-692#  209760元</t>
  </si>
  <si>
    <t>有</t>
  </si>
  <si>
    <t>胡文明</t>
  </si>
  <si>
    <t>异地预缴税款</t>
  </si>
  <si>
    <t>钢波纹管</t>
  </si>
  <si>
    <t>铣刨</t>
  </si>
  <si>
    <t>运输</t>
  </si>
  <si>
    <t>银川市西夏区鑫豪建材商行</t>
  </si>
  <si>
    <t>材料费</t>
  </si>
  <si>
    <t>桥梁专业分包</t>
  </si>
  <si>
    <t>总工资  1190410元</t>
  </si>
  <si>
    <t>11份</t>
  </si>
  <si>
    <t>电子票</t>
  </si>
  <si>
    <t>砂石料</t>
  </si>
  <si>
    <t>2021-119#-1294500</t>
  </si>
  <si>
    <t>宁夏强俊龙商贸有限公司</t>
  </si>
  <si>
    <t>钢筋款</t>
  </si>
  <si>
    <t>暂未收到发票</t>
  </si>
  <si>
    <t>宁夏润广石化有限公司</t>
  </si>
  <si>
    <t>2021-194#-825000</t>
  </si>
  <si>
    <t>扣</t>
  </si>
  <si>
    <t>何昌宝驻地4月15日到4月30日100/天</t>
  </si>
  <si>
    <t>财务手续费</t>
  </si>
  <si>
    <t>补扣</t>
  </si>
  <si>
    <t>何昌宝出场（2021.3.23-3.26）</t>
  </si>
  <si>
    <t>第一次出场3000，第二次驻地5天*1000</t>
  </si>
  <si>
    <t>1次</t>
  </si>
  <si>
    <t>管理费</t>
  </si>
  <si>
    <t>程尧借款利息</t>
  </si>
  <si>
    <t>程尧借款</t>
  </si>
  <si>
    <t>企税1%（2020.12月开票扣税）</t>
  </si>
  <si>
    <t xml:space="preserve">     </t>
  </si>
  <si>
    <t>应提供成本</t>
  </si>
  <si>
    <t>可支付金额</t>
  </si>
  <si>
    <t xml:space="preserve"> </t>
  </si>
  <si>
    <t>尚需提供成本</t>
  </si>
  <si>
    <t>公司代缴税金：</t>
  </si>
  <si>
    <t>税种</t>
  </si>
  <si>
    <t>税额</t>
  </si>
  <si>
    <t>2020.12月开票扣税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</si>
  <si>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</si>
  <si>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</si>
  <si>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</si>
  <si>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</si>
  <si>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</si>
  <si>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</si>
  <si>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</si>
  <si>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</si>
  <si>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</si>
  <si>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已交</t>
  </si>
  <si>
    <t>开票预缴税金</t>
  </si>
  <si>
    <t>缺货单，发票未备注</t>
  </si>
  <si>
    <t>规格型号</t>
  </si>
  <si>
    <t>数量</t>
  </si>
  <si>
    <t>单位</t>
  </si>
  <si>
    <t>0#（VI）</t>
  </si>
  <si>
    <t>吨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</si>
</sst>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 "/>
    <numFmt numFmtId="177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/m/d;@"/>
    <numFmt numFmtId="179" formatCode="#,##0.00_ "/>
    <numFmt numFmtId="180" formatCode="yyyy&quot;年&quot;m&quot;月&quot;;@"/>
    <numFmt numFmtId="181" formatCode="#,##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30" fillId="34" borderId="1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>
      <protection locked="0"/>
    </xf>
  </cellStyleXfs>
  <cellXfs count="17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43" fontId="4" fillId="0" borderId="0" xfId="8" applyFont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81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81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11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vertical="center"/>
    </xf>
    <xf numFmtId="178" fontId="2" fillId="0" borderId="4" xfId="0" applyNumberFormat="1" applyFont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6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2" fillId="6" borderId="4" xfId="0" applyNumberFormat="1" applyFont="1" applyFill="1" applyBorder="1" applyAlignment="1">
      <alignment vertical="center"/>
    </xf>
    <xf numFmtId="58" fontId="2" fillId="6" borderId="2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179" fontId="10" fillId="7" borderId="2" xfId="49" applyNumberFormat="1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/>
    <xf numFmtId="0" fontId="7" fillId="0" borderId="8" xfId="0" applyFont="1" applyBorder="1" applyAlignment="1">
      <alignment horizontal="center" vertical="center"/>
    </xf>
    <xf numFmtId="0" fontId="11" fillId="0" borderId="2" xfId="0" applyFont="1" applyBorder="1" applyAlignment="1"/>
    <xf numFmtId="0" fontId="11" fillId="6" borderId="2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center" vertical="center"/>
    </xf>
    <xf numFmtId="0" fontId="11" fillId="0" borderId="2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9" fontId="4" fillId="0" borderId="0" xfId="8" applyNumberFormat="1" applyFont="1" applyAlignment="1">
      <alignment vertical="center"/>
    </xf>
    <xf numFmtId="179" fontId="3" fillId="0" borderId="2" xfId="0" applyNumberFormat="1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0" borderId="2" xfId="11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9" fontId="2" fillId="0" borderId="2" xfId="1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vertical="center"/>
    </xf>
    <xf numFmtId="181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9" fontId="7" fillId="0" borderId="2" xfId="11" applyNumberFormat="1" applyFont="1" applyFill="1" applyBorder="1" applyAlignment="1">
      <alignment horizontal="center" vertical="center"/>
    </xf>
    <xf numFmtId="179" fontId="7" fillId="0" borderId="2" xfId="0" applyNumberFormat="1" applyFont="1" applyBorder="1" applyAlignment="1">
      <alignment vertical="center"/>
    </xf>
    <xf numFmtId="179" fontId="7" fillId="2" borderId="2" xfId="0" applyNumberFormat="1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vertical="center"/>
    </xf>
    <xf numFmtId="179" fontId="7" fillId="0" borderId="3" xfId="0" applyNumberFormat="1" applyFont="1" applyFill="1" applyBorder="1" applyAlignment="1">
      <alignment vertical="center"/>
    </xf>
    <xf numFmtId="179" fontId="2" fillId="2" borderId="3" xfId="0" applyNumberFormat="1" applyFont="1" applyFill="1" applyBorder="1" applyAlignment="1">
      <alignment vertical="center"/>
    </xf>
    <xf numFmtId="180" fontId="3" fillId="0" borderId="2" xfId="0" applyNumberFormat="1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9" fontId="3" fillId="0" borderId="2" xfId="11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7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9" fontId="2" fillId="6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7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179" fontId="2" fillId="0" borderId="6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/>
    <xf numFmtId="179" fontId="12" fillId="0" borderId="2" xfId="49" applyNumberFormat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3" fillId="0" borderId="2" xfId="0" applyFont="1" applyBorder="1" applyAlignment="1"/>
    <xf numFmtId="179" fontId="6" fillId="0" borderId="3" xfId="0" applyNumberFormat="1" applyFont="1" applyBorder="1" applyAlignment="1">
      <alignment vertical="center"/>
    </xf>
    <xf numFmtId="0" fontId="7" fillId="0" borderId="2" xfId="0" applyFont="1" applyBorder="1" applyAlignment="1"/>
    <xf numFmtId="0" fontId="7" fillId="6" borderId="2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95250</xdr:colOff>
      <xdr:row>22</xdr:row>
      <xdr:rowOff>66675</xdr:rowOff>
    </xdr:from>
    <xdr:to>
      <xdr:col>19</xdr:col>
      <xdr:colOff>289560</xdr:colOff>
      <xdr:row>22</xdr:row>
      <xdr:rowOff>219710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3625" y="5146040"/>
          <a:ext cx="194310" cy="153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20</xdr:col>
      <xdr:colOff>95250</xdr:colOff>
      <xdr:row>22</xdr:row>
      <xdr:rowOff>66675</xdr:rowOff>
    </xdr:from>
    <xdr:to>
      <xdr:col>20</xdr:col>
      <xdr:colOff>410210</xdr:colOff>
      <xdr:row>22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59425" y="5146040"/>
          <a:ext cx="314960" cy="1428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22</xdr:col>
      <xdr:colOff>219075</xdr:colOff>
      <xdr:row>22</xdr:row>
      <xdr:rowOff>57150</xdr:rowOff>
    </xdr:from>
    <xdr:to>
      <xdr:col>22</xdr:col>
      <xdr:colOff>591185</xdr:colOff>
      <xdr:row>22</xdr:row>
      <xdr:rowOff>204470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754850" y="5136515"/>
          <a:ext cx="372110" cy="1473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14</xdr:col>
      <xdr:colOff>238125</xdr:colOff>
      <xdr:row>13</xdr:row>
      <xdr:rowOff>57150</xdr:rowOff>
    </xdr:from>
    <xdr:to>
      <xdr:col>14</xdr:col>
      <xdr:colOff>495935</xdr:colOff>
      <xdr:row>13</xdr:row>
      <xdr:rowOff>154940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25550" y="3079115"/>
          <a:ext cx="257810" cy="9779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457200</xdr:colOff>
      <xdr:row>95</xdr:row>
      <xdr:rowOff>104140</xdr:rowOff>
    </xdr:from>
    <xdr:to>
      <xdr:col>5</xdr:col>
      <xdr:colOff>723265</xdr:colOff>
      <xdr:row>95</xdr:row>
      <xdr:rowOff>220345</xdr:rowOff>
    </xdr:to>
    <xdr:pic>
      <xdr:nvPicPr>
        <xdr:cNvPr id="6" name="图片 5" descr="XTXJQ1E}_D]JWM7LZ_C2T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10050" y="22226905"/>
          <a:ext cx="266065" cy="116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95250</xdr:colOff>
      <xdr:row>22</xdr:row>
      <xdr:rowOff>66675</xdr:rowOff>
    </xdr:from>
    <xdr:to>
      <xdr:col>19</xdr:col>
      <xdr:colOff>289560</xdr:colOff>
      <xdr:row>22</xdr:row>
      <xdr:rowOff>219710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0" y="5146040"/>
          <a:ext cx="194310" cy="153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20</xdr:col>
      <xdr:colOff>95250</xdr:colOff>
      <xdr:row>22</xdr:row>
      <xdr:rowOff>66675</xdr:rowOff>
    </xdr:from>
    <xdr:to>
      <xdr:col>20</xdr:col>
      <xdr:colOff>410210</xdr:colOff>
      <xdr:row>22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49850" y="5146040"/>
          <a:ext cx="314960" cy="1428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22</xdr:col>
      <xdr:colOff>219075</xdr:colOff>
      <xdr:row>22</xdr:row>
      <xdr:rowOff>57150</xdr:rowOff>
    </xdr:from>
    <xdr:to>
      <xdr:col>22</xdr:col>
      <xdr:colOff>591185</xdr:colOff>
      <xdr:row>22</xdr:row>
      <xdr:rowOff>204470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5275" y="5136515"/>
          <a:ext cx="372110" cy="14732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14</xdr:col>
      <xdr:colOff>238125</xdr:colOff>
      <xdr:row>13</xdr:row>
      <xdr:rowOff>57150</xdr:rowOff>
    </xdr:from>
    <xdr:to>
      <xdr:col>14</xdr:col>
      <xdr:colOff>495935</xdr:colOff>
      <xdr:row>13</xdr:row>
      <xdr:rowOff>154940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77925" y="3079115"/>
          <a:ext cx="257810" cy="9779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457200</xdr:colOff>
      <xdr:row>81</xdr:row>
      <xdr:rowOff>104140</xdr:rowOff>
    </xdr:from>
    <xdr:to>
      <xdr:col>5</xdr:col>
      <xdr:colOff>723265</xdr:colOff>
      <xdr:row>81</xdr:row>
      <xdr:rowOff>220345</xdr:rowOff>
    </xdr:to>
    <xdr:pic>
      <xdr:nvPicPr>
        <xdr:cNvPr id="6" name="图片 5" descr="XTXJQ1E}_D]JWM7LZ_C2T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10050" y="19026505"/>
          <a:ext cx="266065" cy="116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tabSelected="1" workbookViewId="0">
      <selection activeCell="A1" sqref="A1:J1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5.75" style="4" customWidth="1"/>
    <col min="8" max="8" width="10.625" style="5" customWidth="1"/>
    <col min="9" max="9" width="13.25" style="6" customWidth="1"/>
    <col min="10" max="10" width="6.25" style="7" customWidth="1"/>
    <col min="11" max="11" width="31.5" style="8" customWidth="1"/>
    <col min="12" max="12" width="12.75" style="8" customWidth="1"/>
    <col min="13" max="13" width="19.125" style="8" customWidth="1"/>
    <col min="14" max="14" width="8" style="8" customWidth="1"/>
    <col min="15" max="15" width="13.75" style="8" customWidth="1"/>
    <col min="16" max="16384" width="9" style="8"/>
  </cols>
  <sheetData>
    <row r="1" ht="21.95" customHeight="1" spans="1:12">
      <c r="A1" s="9" t="s">
        <v>0</v>
      </c>
      <c r="B1" s="9"/>
      <c r="C1" s="9"/>
      <c r="D1" s="9"/>
      <c r="E1" s="9"/>
      <c r="F1" s="10"/>
      <c r="G1" s="10"/>
      <c r="H1" s="9"/>
      <c r="I1" s="10"/>
      <c r="J1" s="9"/>
      <c r="K1" s="20"/>
      <c r="L1" s="20"/>
    </row>
    <row r="2" ht="18" customHeight="1" spans="1:12">
      <c r="A2" s="11" t="s">
        <v>1</v>
      </c>
      <c r="B2" s="12">
        <v>43769</v>
      </c>
      <c r="C2" s="13" t="s">
        <v>2</v>
      </c>
      <c r="D2" s="116">
        <v>48638519.15</v>
      </c>
      <c r="E2" s="15" t="s">
        <v>3</v>
      </c>
      <c r="F2" s="16" t="s">
        <v>4</v>
      </c>
      <c r="G2" s="17" t="s">
        <v>5</v>
      </c>
      <c r="H2" s="18"/>
      <c r="I2" s="64"/>
      <c r="J2" s="65"/>
      <c r="K2" s="20"/>
      <c r="L2" s="20"/>
    </row>
    <row r="3" ht="18" customHeight="1" spans="1:14">
      <c r="A3" s="11" t="s">
        <v>6</v>
      </c>
      <c r="B3" s="19"/>
      <c r="C3" s="13" t="s">
        <v>7</v>
      </c>
      <c r="D3" s="13"/>
      <c r="H3" s="20"/>
      <c r="I3" s="66"/>
      <c r="J3" s="20"/>
      <c r="K3" s="20"/>
      <c r="L3" s="20"/>
      <c r="N3" s="20"/>
    </row>
    <row r="4" ht="18" customHeight="1" spans="1:12">
      <c r="A4" s="3" t="s">
        <v>8</v>
      </c>
      <c r="H4" s="20"/>
      <c r="I4" s="66"/>
      <c r="J4" s="20"/>
      <c r="L4" s="20"/>
    </row>
    <row r="5" ht="18" customHeight="1" spans="1:10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3"/>
    </row>
    <row r="6" ht="18" customHeight="1" spans="1:10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3" t="s">
        <v>19</v>
      </c>
    </row>
    <row r="7" ht="18" customHeight="1" spans="1:10">
      <c r="A7" s="24">
        <v>44167</v>
      </c>
      <c r="B7" s="13">
        <f t="shared" ref="B7:B10" si="0">G7/(1+C7+E7)</f>
        <v>8924770.64220183</v>
      </c>
      <c r="C7" s="26">
        <v>0.02</v>
      </c>
      <c r="D7" s="117">
        <f t="shared" ref="D7:D10" si="1">G7/(1+E7+C7)*C7</f>
        <v>178495.412844037</v>
      </c>
      <c r="E7" s="28">
        <v>0.07</v>
      </c>
      <c r="F7" s="13">
        <f t="shared" ref="F7:F10" si="2">G7/(1+C7+E7)*E7</f>
        <v>624733.944954128</v>
      </c>
      <c r="G7" s="118">
        <v>9728000</v>
      </c>
      <c r="H7" s="24">
        <v>44189</v>
      </c>
      <c r="I7" s="15">
        <v>6000000</v>
      </c>
      <c r="J7" s="67" t="s">
        <v>20</v>
      </c>
    </row>
    <row r="8" ht="18" customHeight="1" spans="1:10">
      <c r="A8" s="24"/>
      <c r="B8" s="13">
        <f t="shared" si="0"/>
        <v>0</v>
      </c>
      <c r="C8" s="26">
        <v>0.02</v>
      </c>
      <c r="D8" s="117">
        <f t="shared" si="1"/>
        <v>0</v>
      </c>
      <c r="E8" s="26">
        <v>0.08</v>
      </c>
      <c r="F8" s="13">
        <f t="shared" si="2"/>
        <v>0</v>
      </c>
      <c r="G8" s="118"/>
      <c r="H8" s="24">
        <v>44235</v>
      </c>
      <c r="I8" s="15">
        <v>1000000</v>
      </c>
      <c r="J8" s="67" t="s">
        <v>20</v>
      </c>
    </row>
    <row r="9" ht="18" customHeight="1" spans="1:10">
      <c r="A9" s="24"/>
      <c r="B9" s="13">
        <f t="shared" si="0"/>
        <v>0</v>
      </c>
      <c r="C9" s="26">
        <v>0.02</v>
      </c>
      <c r="D9" s="117">
        <f t="shared" si="1"/>
        <v>0</v>
      </c>
      <c r="E9" s="26">
        <v>0.08</v>
      </c>
      <c r="F9" s="13">
        <f t="shared" si="2"/>
        <v>0</v>
      </c>
      <c r="G9" s="118"/>
      <c r="H9" s="24">
        <v>44294</v>
      </c>
      <c r="I9" s="15">
        <v>1000000</v>
      </c>
      <c r="J9" s="67" t="s">
        <v>21</v>
      </c>
    </row>
    <row r="10" ht="18" customHeight="1" spans="1:10">
      <c r="A10" s="24"/>
      <c r="B10" s="13">
        <f t="shared" si="0"/>
        <v>0</v>
      </c>
      <c r="C10" s="26">
        <v>0.02</v>
      </c>
      <c r="D10" s="117">
        <f t="shared" si="1"/>
        <v>0</v>
      </c>
      <c r="E10" s="26">
        <v>0.08</v>
      </c>
      <c r="F10" s="13">
        <f t="shared" si="2"/>
        <v>0</v>
      </c>
      <c r="G10" s="118"/>
      <c r="H10" s="24"/>
      <c r="I10" s="15"/>
      <c r="J10" s="67"/>
    </row>
    <row r="11" ht="18" customHeight="1" spans="1:10">
      <c r="A11" s="30" t="s">
        <v>22</v>
      </c>
      <c r="B11" s="119">
        <f t="shared" ref="B11:G11" si="3">SUM(B7:B10)</f>
        <v>8924770.64220183</v>
      </c>
      <c r="C11" s="32"/>
      <c r="D11" s="32">
        <f t="shared" si="3"/>
        <v>178495.412844037</v>
      </c>
      <c r="E11" s="32"/>
      <c r="F11" s="120">
        <f t="shared" si="3"/>
        <v>624733.944954128</v>
      </c>
      <c r="G11" s="32">
        <f t="shared" si="3"/>
        <v>9728000</v>
      </c>
      <c r="H11" s="35"/>
      <c r="I11" s="21">
        <f>SUM(I7:I10)</f>
        <v>8000000</v>
      </c>
      <c r="J11" s="35"/>
    </row>
    <row r="12" ht="18" customHeight="1" spans="1:12">
      <c r="A12" s="3" t="s">
        <v>23</v>
      </c>
      <c r="J12" s="5"/>
      <c r="K12" s="5"/>
      <c r="L12" s="7"/>
    </row>
    <row r="13" ht="18" customHeight="1" spans="1:15">
      <c r="A13" s="36" t="s">
        <v>24</v>
      </c>
      <c r="B13" s="22" t="s">
        <v>25</v>
      </c>
      <c r="C13" s="21" t="s">
        <v>26</v>
      </c>
      <c r="D13" s="21" t="s">
        <v>27</v>
      </c>
      <c r="E13" s="21" t="s">
        <v>15</v>
      </c>
      <c r="F13" s="22" t="s">
        <v>28</v>
      </c>
      <c r="G13" s="22" t="s">
        <v>13</v>
      </c>
      <c r="H13" s="21" t="s">
        <v>29</v>
      </c>
      <c r="I13" s="22" t="s">
        <v>30</v>
      </c>
      <c r="J13" s="21" t="s">
        <v>19</v>
      </c>
      <c r="K13" s="68" t="s">
        <v>31</v>
      </c>
      <c r="L13" s="69" t="s">
        <v>32</v>
      </c>
      <c r="M13" s="23" t="s">
        <v>33</v>
      </c>
      <c r="N13" s="23" t="s">
        <v>34</v>
      </c>
      <c r="O13" s="23" t="s">
        <v>35</v>
      </c>
    </row>
    <row r="14" s="2" customFormat="1" ht="18" customHeight="1" spans="1:15">
      <c r="A14" s="37"/>
      <c r="B14" s="121">
        <f t="shared" ref="B14:B62" si="4">ROUND(G14/(1+E14),2)</f>
        <v>0</v>
      </c>
      <c r="C14" s="39"/>
      <c r="D14" s="40"/>
      <c r="E14" s="41"/>
      <c r="F14" s="121">
        <f t="shared" ref="F14:F62" si="5">ROUND(G14/(1+E14)*E14,2)</f>
        <v>0</v>
      </c>
      <c r="G14" s="118"/>
      <c r="H14" s="42">
        <v>44041</v>
      </c>
      <c r="I14" s="144">
        <v>-400000</v>
      </c>
      <c r="J14" s="71" t="s">
        <v>36</v>
      </c>
      <c r="K14" s="145" t="s">
        <v>37</v>
      </c>
      <c r="L14" s="145" t="s">
        <v>38</v>
      </c>
      <c r="M14" s="73"/>
      <c r="N14" s="74"/>
      <c r="O14" s="75"/>
    </row>
    <row r="15" s="2" customFormat="1" ht="18" customHeight="1" spans="1:15">
      <c r="A15" s="37"/>
      <c r="B15" s="121">
        <f t="shared" si="4"/>
        <v>0</v>
      </c>
      <c r="C15" s="39"/>
      <c r="D15" s="40"/>
      <c r="E15" s="43"/>
      <c r="F15" s="121">
        <f t="shared" si="5"/>
        <v>0</v>
      </c>
      <c r="G15" s="118"/>
      <c r="H15" s="42">
        <v>44042</v>
      </c>
      <c r="I15" s="144">
        <v>159000</v>
      </c>
      <c r="J15" s="71" t="s">
        <v>20</v>
      </c>
      <c r="K15" s="76" t="s">
        <v>39</v>
      </c>
      <c r="L15" s="75" t="s">
        <v>40</v>
      </c>
      <c r="M15" s="73"/>
      <c r="N15" s="74"/>
      <c r="O15" s="75"/>
    </row>
    <row r="16" s="115" customFormat="1" ht="18" customHeight="1" spans="1:15">
      <c r="A16" s="122">
        <v>44063</v>
      </c>
      <c r="B16" s="121">
        <f t="shared" si="4"/>
        <v>15094.34</v>
      </c>
      <c r="C16" s="123"/>
      <c r="D16" s="124" t="s">
        <v>41</v>
      </c>
      <c r="E16" s="125">
        <v>0.06</v>
      </c>
      <c r="F16" s="121">
        <f t="shared" si="5"/>
        <v>905.66</v>
      </c>
      <c r="G16" s="121">
        <f>8000+8000</f>
        <v>16000</v>
      </c>
      <c r="H16" s="57"/>
      <c r="I16" s="146"/>
      <c r="J16" s="147"/>
      <c r="K16" s="148" t="s">
        <v>42</v>
      </c>
      <c r="L16" s="149" t="s">
        <v>43</v>
      </c>
      <c r="M16" s="150"/>
      <c r="N16" s="150"/>
      <c r="O16" s="151"/>
    </row>
    <row r="17" s="115" customFormat="1" ht="18" customHeight="1" spans="1:15">
      <c r="A17" s="122">
        <v>44094</v>
      </c>
      <c r="B17" s="121">
        <f t="shared" si="4"/>
        <v>188679.25</v>
      </c>
      <c r="C17" s="123">
        <v>2</v>
      </c>
      <c r="D17" s="124" t="s">
        <v>41</v>
      </c>
      <c r="E17" s="125">
        <v>0.06</v>
      </c>
      <c r="F17" s="121">
        <f t="shared" si="5"/>
        <v>11320.75</v>
      </c>
      <c r="G17" s="121">
        <f>200000</f>
        <v>200000</v>
      </c>
      <c r="H17" s="57"/>
      <c r="I17" s="146"/>
      <c r="J17" s="147"/>
      <c r="K17" s="152" t="s">
        <v>44</v>
      </c>
      <c r="L17" s="151" t="s">
        <v>45</v>
      </c>
      <c r="M17" s="153" t="s">
        <v>46</v>
      </c>
      <c r="N17" s="150"/>
      <c r="O17" s="151"/>
    </row>
    <row r="18" s="115" customFormat="1" ht="18" customHeight="1" spans="1:15">
      <c r="A18" s="122">
        <v>44094</v>
      </c>
      <c r="B18" s="121">
        <f t="shared" si="4"/>
        <v>144929.2</v>
      </c>
      <c r="C18" s="123">
        <v>1</v>
      </c>
      <c r="D18" s="124" t="s">
        <v>41</v>
      </c>
      <c r="E18" s="125">
        <v>0.13</v>
      </c>
      <c r="F18" s="121">
        <f t="shared" si="5"/>
        <v>18840.8</v>
      </c>
      <c r="G18" s="121">
        <v>163770</v>
      </c>
      <c r="H18" s="57"/>
      <c r="I18" s="146"/>
      <c r="J18" s="147"/>
      <c r="K18" s="152" t="s">
        <v>39</v>
      </c>
      <c r="L18" s="151" t="s">
        <v>40</v>
      </c>
      <c r="M18" s="153" t="s">
        <v>47</v>
      </c>
      <c r="N18" s="150"/>
      <c r="O18" s="151"/>
    </row>
    <row r="19" s="115" customFormat="1" ht="18" customHeight="1" spans="1:15">
      <c r="A19" s="122">
        <v>44094</v>
      </c>
      <c r="B19" s="121">
        <f t="shared" si="4"/>
        <v>163903.77</v>
      </c>
      <c r="C19" s="123">
        <v>2</v>
      </c>
      <c r="D19" s="124" t="s">
        <v>41</v>
      </c>
      <c r="E19" s="125">
        <v>0.06</v>
      </c>
      <c r="F19" s="121">
        <f t="shared" si="5"/>
        <v>9834.23</v>
      </c>
      <c r="G19" s="121">
        <f>73738+100000</f>
        <v>173738</v>
      </c>
      <c r="H19" s="57"/>
      <c r="I19" s="146"/>
      <c r="J19" s="147"/>
      <c r="K19" s="152" t="s">
        <v>48</v>
      </c>
      <c r="L19" s="151" t="s">
        <v>49</v>
      </c>
      <c r="M19" s="150"/>
      <c r="N19" s="150"/>
      <c r="O19" s="151"/>
    </row>
    <row r="20" s="115" customFormat="1" ht="18" customHeight="1" spans="1:15">
      <c r="A20" s="122">
        <v>44094</v>
      </c>
      <c r="B20" s="121">
        <f t="shared" si="4"/>
        <v>242866.34</v>
      </c>
      <c r="C20" s="123">
        <v>3</v>
      </c>
      <c r="D20" s="124" t="s">
        <v>41</v>
      </c>
      <c r="E20" s="125">
        <v>0.01</v>
      </c>
      <c r="F20" s="121">
        <f t="shared" si="5"/>
        <v>2428.66</v>
      </c>
      <c r="G20" s="121">
        <f>45295+100000+100000</f>
        <v>245295</v>
      </c>
      <c r="H20" s="57"/>
      <c r="I20" s="146"/>
      <c r="J20" s="147"/>
      <c r="K20" s="152" t="s">
        <v>50</v>
      </c>
      <c r="L20" s="151" t="s">
        <v>51</v>
      </c>
      <c r="M20" s="150"/>
      <c r="N20" s="150"/>
      <c r="O20" s="151"/>
    </row>
    <row r="21" s="2" customFormat="1" ht="18" customHeight="1" spans="1:15">
      <c r="A21" s="37"/>
      <c r="B21" s="126">
        <f t="shared" si="4"/>
        <v>0</v>
      </c>
      <c r="C21" s="39"/>
      <c r="D21" s="40"/>
      <c r="E21" s="43"/>
      <c r="F21" s="126">
        <f t="shared" si="5"/>
        <v>0</v>
      </c>
      <c r="G21" s="118"/>
      <c r="H21" s="24">
        <v>44057</v>
      </c>
      <c r="I21" s="146">
        <v>19455</v>
      </c>
      <c r="J21" s="67" t="s">
        <v>20</v>
      </c>
      <c r="K21" s="76" t="s">
        <v>52</v>
      </c>
      <c r="L21" s="75" t="s">
        <v>53</v>
      </c>
      <c r="M21" s="74"/>
      <c r="N21" s="74"/>
      <c r="O21" s="75"/>
    </row>
    <row r="22" s="2" customFormat="1" ht="18" customHeight="1" spans="1:15">
      <c r="A22" s="37"/>
      <c r="B22" s="126">
        <f t="shared" si="4"/>
        <v>0</v>
      </c>
      <c r="C22" s="39"/>
      <c r="D22" s="40"/>
      <c r="E22" s="43"/>
      <c r="F22" s="126">
        <f t="shared" si="5"/>
        <v>0</v>
      </c>
      <c r="G22" s="118"/>
      <c r="H22" s="42">
        <v>44077</v>
      </c>
      <c r="I22" s="144">
        <v>200000</v>
      </c>
      <c r="J22" s="71" t="s">
        <v>20</v>
      </c>
      <c r="K22" s="76" t="s">
        <v>54</v>
      </c>
      <c r="L22" s="75" t="s">
        <v>55</v>
      </c>
      <c r="M22" s="74"/>
      <c r="N22" s="74"/>
      <c r="O22" s="75"/>
    </row>
    <row r="23" s="115" customFormat="1" ht="18" customHeight="1" spans="1:22">
      <c r="A23" s="122">
        <v>44040</v>
      </c>
      <c r="B23" s="121">
        <f t="shared" si="4"/>
        <v>1200</v>
      </c>
      <c r="C23" s="123"/>
      <c r="D23" s="124" t="s">
        <v>56</v>
      </c>
      <c r="E23" s="127"/>
      <c r="F23" s="121">
        <f t="shared" si="5"/>
        <v>0</v>
      </c>
      <c r="G23" s="121">
        <v>1200</v>
      </c>
      <c r="H23" s="57">
        <v>44013</v>
      </c>
      <c r="I23" s="146">
        <v>1200</v>
      </c>
      <c r="J23" s="147" t="s">
        <v>20</v>
      </c>
      <c r="K23" s="152" t="s">
        <v>57</v>
      </c>
      <c r="L23" s="151" t="s">
        <v>58</v>
      </c>
      <c r="M23" s="150"/>
      <c r="N23" s="150"/>
      <c r="O23" s="151" t="s">
        <v>59</v>
      </c>
      <c r="P23" s="115" t="s">
        <v>60</v>
      </c>
      <c r="R23" s="115" t="s">
        <v>61</v>
      </c>
      <c r="V23" s="147" t="s">
        <v>62</v>
      </c>
    </row>
    <row r="24" s="2" customFormat="1" ht="18" customHeight="1" spans="1:22">
      <c r="A24" s="37"/>
      <c r="B24" s="126">
        <f t="shared" si="4"/>
        <v>0</v>
      </c>
      <c r="C24" s="39"/>
      <c r="D24" s="40"/>
      <c r="E24" s="43"/>
      <c r="F24" s="126">
        <f t="shared" si="5"/>
        <v>0</v>
      </c>
      <c r="G24" s="118"/>
      <c r="H24" s="24">
        <v>44081</v>
      </c>
      <c r="I24" s="154">
        <v>-1000000</v>
      </c>
      <c r="J24" s="82" t="s">
        <v>20</v>
      </c>
      <c r="K24" s="83" t="s">
        <v>63</v>
      </c>
      <c r="L24" s="84" t="s">
        <v>64</v>
      </c>
      <c r="M24" s="82"/>
      <c r="N24" s="82"/>
      <c r="O24" s="84" t="s">
        <v>65</v>
      </c>
      <c r="V24" s="106"/>
    </row>
    <row r="25" s="115" customFormat="1" ht="18" customHeight="1" spans="1:15">
      <c r="A25" s="122">
        <v>44094</v>
      </c>
      <c r="B25" s="121">
        <f t="shared" si="4"/>
        <v>145116.81</v>
      </c>
      <c r="C25" s="123">
        <v>1</v>
      </c>
      <c r="D25" s="124" t="s">
        <v>41</v>
      </c>
      <c r="E25" s="125">
        <v>0.13</v>
      </c>
      <c r="F25" s="121">
        <f t="shared" si="5"/>
        <v>18865.19</v>
      </c>
      <c r="G25" s="121">
        <v>163982</v>
      </c>
      <c r="H25" s="56">
        <v>44082</v>
      </c>
      <c r="I25" s="144">
        <v>169600</v>
      </c>
      <c r="J25" s="150" t="s">
        <v>20</v>
      </c>
      <c r="K25" s="152" t="s">
        <v>39</v>
      </c>
      <c r="L25" s="151" t="s">
        <v>40</v>
      </c>
      <c r="M25" s="150"/>
      <c r="N25" s="150"/>
      <c r="O25" s="151"/>
    </row>
    <row r="26" s="115" customFormat="1" ht="18" customHeight="1" spans="1:15">
      <c r="A26" s="128">
        <v>44147</v>
      </c>
      <c r="B26" s="129">
        <f t="shared" si="4"/>
        <v>59856.44</v>
      </c>
      <c r="C26" s="130">
        <v>1</v>
      </c>
      <c r="D26" s="131" t="s">
        <v>41</v>
      </c>
      <c r="E26" s="132">
        <v>0.01</v>
      </c>
      <c r="F26" s="129">
        <f t="shared" si="5"/>
        <v>598.56</v>
      </c>
      <c r="G26" s="129">
        <v>60455</v>
      </c>
      <c r="H26" s="56">
        <v>44092</v>
      </c>
      <c r="I26" s="144">
        <v>60000</v>
      </c>
      <c r="J26" s="150" t="s">
        <v>20</v>
      </c>
      <c r="K26" s="152" t="s">
        <v>66</v>
      </c>
      <c r="L26" s="151" t="s">
        <v>67</v>
      </c>
      <c r="M26" s="153" t="s">
        <v>68</v>
      </c>
      <c r="N26" s="150"/>
      <c r="O26" s="155" t="s">
        <v>69</v>
      </c>
    </row>
    <row r="27" s="115" customFormat="1" ht="18" customHeight="1" spans="1:15">
      <c r="A27" s="128">
        <v>44147</v>
      </c>
      <c r="B27" s="129">
        <f t="shared" si="4"/>
        <v>146336.28</v>
      </c>
      <c r="C27" s="130">
        <v>1</v>
      </c>
      <c r="D27" s="131" t="s">
        <v>41</v>
      </c>
      <c r="E27" s="132">
        <v>0.13</v>
      </c>
      <c r="F27" s="129">
        <f t="shared" si="5"/>
        <v>19023.72</v>
      </c>
      <c r="G27" s="129">
        <v>165360</v>
      </c>
      <c r="H27" s="56">
        <v>44092</v>
      </c>
      <c r="I27" s="144">
        <v>300000</v>
      </c>
      <c r="J27" s="150" t="s">
        <v>20</v>
      </c>
      <c r="K27" s="152" t="s">
        <v>70</v>
      </c>
      <c r="L27" s="151" t="s">
        <v>71</v>
      </c>
      <c r="M27" s="153" t="s">
        <v>47</v>
      </c>
      <c r="N27" s="150"/>
      <c r="O27" s="155" t="s">
        <v>69</v>
      </c>
    </row>
    <row r="28" s="2" customFormat="1" ht="18" customHeight="1" spans="1:15">
      <c r="A28" s="44"/>
      <c r="B28" s="133">
        <f t="shared" si="4"/>
        <v>0</v>
      </c>
      <c r="C28" s="46"/>
      <c r="D28" s="47"/>
      <c r="E28" s="48"/>
      <c r="F28" s="133">
        <f t="shared" si="5"/>
        <v>0</v>
      </c>
      <c r="G28" s="134"/>
      <c r="H28" s="42">
        <v>44092</v>
      </c>
      <c r="I28" s="144">
        <v>300000</v>
      </c>
      <c r="J28" s="74" t="s">
        <v>20</v>
      </c>
      <c r="K28" s="76" t="s">
        <v>72</v>
      </c>
      <c r="L28" s="86" t="s">
        <v>73</v>
      </c>
      <c r="M28" s="74" t="s">
        <v>74</v>
      </c>
      <c r="N28" s="74"/>
      <c r="O28" s="85"/>
    </row>
    <row r="29" s="115" customFormat="1" ht="18" customHeight="1" spans="1:15">
      <c r="A29" s="128">
        <v>44147</v>
      </c>
      <c r="B29" s="129">
        <f t="shared" si="4"/>
        <v>33185.84</v>
      </c>
      <c r="C29" s="130">
        <v>1</v>
      </c>
      <c r="D29" s="131" t="s">
        <v>41</v>
      </c>
      <c r="E29" s="132">
        <v>0.13</v>
      </c>
      <c r="F29" s="129">
        <f t="shared" si="5"/>
        <v>4314.16</v>
      </c>
      <c r="G29" s="129">
        <v>37500</v>
      </c>
      <c r="H29" s="135">
        <v>44114</v>
      </c>
      <c r="I29" s="156">
        <v>37500</v>
      </c>
      <c r="J29" s="157" t="s">
        <v>20</v>
      </c>
      <c r="K29" s="158" t="s">
        <v>75</v>
      </c>
      <c r="L29" s="159" t="s">
        <v>76</v>
      </c>
      <c r="M29" s="153" t="s">
        <v>77</v>
      </c>
      <c r="N29" s="150"/>
      <c r="O29" s="155" t="s">
        <v>69</v>
      </c>
    </row>
    <row r="30" s="115" customFormat="1" ht="18" customHeight="1" spans="1:15">
      <c r="A30" s="122">
        <v>44155</v>
      </c>
      <c r="B30" s="121">
        <f t="shared" si="4"/>
        <v>145688.5</v>
      </c>
      <c r="C30" s="123">
        <v>1</v>
      </c>
      <c r="D30" s="124" t="s">
        <v>41</v>
      </c>
      <c r="E30" s="125">
        <v>0.13</v>
      </c>
      <c r="F30" s="121">
        <f t="shared" si="5"/>
        <v>18939.5</v>
      </c>
      <c r="G30" s="136">
        <f>164628</f>
        <v>164628</v>
      </c>
      <c r="H30" s="135"/>
      <c r="I30" s="156"/>
      <c r="J30" s="157"/>
      <c r="K30" s="152" t="s">
        <v>70</v>
      </c>
      <c r="L30" s="151" t="s">
        <v>71</v>
      </c>
      <c r="M30" s="153" t="s">
        <v>47</v>
      </c>
      <c r="N30" s="150"/>
      <c r="O30" s="155"/>
    </row>
    <row r="31" s="115" customFormat="1" ht="18" customHeight="1" spans="1:15">
      <c r="A31" s="122">
        <v>44155</v>
      </c>
      <c r="B31" s="121">
        <f t="shared" si="4"/>
        <v>131139.82</v>
      </c>
      <c r="C31" s="123">
        <v>1</v>
      </c>
      <c r="D31" s="124" t="s">
        <v>41</v>
      </c>
      <c r="E31" s="125">
        <v>0.13</v>
      </c>
      <c r="F31" s="121">
        <f t="shared" si="5"/>
        <v>17048.18</v>
      </c>
      <c r="G31" s="136">
        <v>148188</v>
      </c>
      <c r="H31" s="135"/>
      <c r="I31" s="156"/>
      <c r="J31" s="157"/>
      <c r="K31" s="152" t="s">
        <v>70</v>
      </c>
      <c r="L31" s="151" t="s">
        <v>71</v>
      </c>
      <c r="M31" s="153" t="s">
        <v>47</v>
      </c>
      <c r="N31" s="150"/>
      <c r="O31" s="155"/>
    </row>
    <row r="32" s="115" customFormat="1" ht="18" customHeight="1" spans="1:15">
      <c r="A32" s="122">
        <v>44155</v>
      </c>
      <c r="B32" s="121">
        <f t="shared" si="4"/>
        <v>1496330.28</v>
      </c>
      <c r="C32" s="123">
        <v>16</v>
      </c>
      <c r="D32" s="124" t="s">
        <v>41</v>
      </c>
      <c r="E32" s="125">
        <v>0.09</v>
      </c>
      <c r="F32" s="121">
        <f t="shared" si="5"/>
        <v>134669.72</v>
      </c>
      <c r="G32" s="136">
        <f>107000*15+26000</f>
        <v>1631000</v>
      </c>
      <c r="H32" s="135"/>
      <c r="I32" s="156"/>
      <c r="J32" s="157"/>
      <c r="K32" s="160" t="s">
        <v>37</v>
      </c>
      <c r="L32" s="160" t="s">
        <v>38</v>
      </c>
      <c r="M32" s="153" t="s">
        <v>78</v>
      </c>
      <c r="N32" s="150"/>
      <c r="O32" s="155"/>
    </row>
    <row r="33" s="115" customFormat="1" ht="18" customHeight="1" spans="1:15">
      <c r="A33" s="128">
        <v>44166</v>
      </c>
      <c r="B33" s="129">
        <f t="shared" si="4"/>
        <v>242552.21</v>
      </c>
      <c r="C33" s="130">
        <v>1</v>
      </c>
      <c r="D33" s="131" t="s">
        <v>41</v>
      </c>
      <c r="E33" s="132">
        <v>0.13</v>
      </c>
      <c r="F33" s="129">
        <f t="shared" si="5"/>
        <v>31531.79</v>
      </c>
      <c r="G33" s="137">
        <f>274084</f>
        <v>274084</v>
      </c>
      <c r="H33" s="135"/>
      <c r="I33" s="156"/>
      <c r="J33" s="157"/>
      <c r="K33" s="160" t="s">
        <v>79</v>
      </c>
      <c r="L33" s="160" t="s">
        <v>80</v>
      </c>
      <c r="M33" s="161" t="s">
        <v>81</v>
      </c>
      <c r="N33" s="150"/>
      <c r="O33" s="155"/>
    </row>
    <row r="34" s="115" customFormat="1" ht="18" customHeight="1" spans="1:15">
      <c r="A34" s="128">
        <v>44166</v>
      </c>
      <c r="B34" s="129">
        <f t="shared" si="4"/>
        <v>3252427.18</v>
      </c>
      <c r="C34" s="130">
        <v>4</v>
      </c>
      <c r="D34" s="131" t="s">
        <v>41</v>
      </c>
      <c r="E34" s="132">
        <v>0.03</v>
      </c>
      <c r="F34" s="129">
        <f t="shared" si="5"/>
        <v>97572.82</v>
      </c>
      <c r="G34" s="137">
        <f>990000*3+380000</f>
        <v>3350000</v>
      </c>
      <c r="H34" s="135"/>
      <c r="I34" s="156"/>
      <c r="J34" s="157"/>
      <c r="K34" s="160" t="s">
        <v>79</v>
      </c>
      <c r="L34" s="160" t="s">
        <v>82</v>
      </c>
      <c r="M34" s="161" t="s">
        <v>83</v>
      </c>
      <c r="N34" s="150"/>
      <c r="O34" s="155" t="s">
        <v>84</v>
      </c>
    </row>
    <row r="35" s="115" customFormat="1" ht="18" customHeight="1" spans="1:15">
      <c r="A35" s="122">
        <v>44166</v>
      </c>
      <c r="B35" s="121">
        <f t="shared" si="4"/>
        <v>108530.97</v>
      </c>
      <c r="C35" s="123">
        <v>2</v>
      </c>
      <c r="D35" s="124" t="s">
        <v>41</v>
      </c>
      <c r="E35" s="125">
        <v>0.13</v>
      </c>
      <c r="F35" s="121">
        <f t="shared" si="5"/>
        <v>14109.03</v>
      </c>
      <c r="G35" s="136">
        <f>100000+22640</f>
        <v>122640</v>
      </c>
      <c r="H35" s="135"/>
      <c r="I35" s="156"/>
      <c r="J35" s="157"/>
      <c r="K35" s="160" t="s">
        <v>85</v>
      </c>
      <c r="L35" s="160" t="s">
        <v>80</v>
      </c>
      <c r="M35" s="153" t="s">
        <v>86</v>
      </c>
      <c r="N35" s="150"/>
      <c r="O35" s="155"/>
    </row>
    <row r="36" s="115" customFormat="1" ht="18" customHeight="1" spans="1:15">
      <c r="A36" s="128">
        <v>44166</v>
      </c>
      <c r="B36" s="129">
        <f t="shared" si="4"/>
        <v>59405.94</v>
      </c>
      <c r="C36" s="130">
        <v>6</v>
      </c>
      <c r="D36" s="131" t="s">
        <v>41</v>
      </c>
      <c r="E36" s="132">
        <v>0.01</v>
      </c>
      <c r="F36" s="129">
        <f t="shared" si="5"/>
        <v>594.06</v>
      </c>
      <c r="G36" s="137">
        <v>60000</v>
      </c>
      <c r="H36" s="135"/>
      <c r="I36" s="156"/>
      <c r="J36" s="157"/>
      <c r="K36" s="160" t="s">
        <v>87</v>
      </c>
      <c r="L36" s="160" t="s">
        <v>88</v>
      </c>
      <c r="M36" s="153" t="s">
        <v>89</v>
      </c>
      <c r="N36" s="150"/>
      <c r="O36" s="155" t="s">
        <v>90</v>
      </c>
    </row>
    <row r="37" s="115" customFormat="1" ht="18" customHeight="1" spans="1:15">
      <c r="A37" s="122">
        <v>44166</v>
      </c>
      <c r="B37" s="121">
        <f t="shared" si="4"/>
        <v>1788990.83</v>
      </c>
      <c r="C37" s="123">
        <v>18</v>
      </c>
      <c r="D37" s="124" t="s">
        <v>41</v>
      </c>
      <c r="E37" s="125">
        <v>0.09</v>
      </c>
      <c r="F37" s="121">
        <f t="shared" si="5"/>
        <v>161009.17</v>
      </c>
      <c r="G37" s="136">
        <f>17*108900+98700</f>
        <v>1950000</v>
      </c>
      <c r="H37" s="135"/>
      <c r="I37" s="156"/>
      <c r="J37" s="157"/>
      <c r="K37" s="160" t="s">
        <v>91</v>
      </c>
      <c r="L37" s="160" t="s">
        <v>92</v>
      </c>
      <c r="M37" s="153" t="s">
        <v>93</v>
      </c>
      <c r="N37" s="150"/>
      <c r="O37" s="155"/>
    </row>
    <row r="38" s="115" customFormat="1" ht="18" customHeight="1" spans="1:15">
      <c r="A38" s="122">
        <v>44166</v>
      </c>
      <c r="B38" s="121">
        <f t="shared" si="4"/>
        <v>917431.19</v>
      </c>
      <c r="C38" s="123">
        <v>10</v>
      </c>
      <c r="D38" s="124" t="s">
        <v>41</v>
      </c>
      <c r="E38" s="125">
        <v>0.09</v>
      </c>
      <c r="F38" s="121">
        <f t="shared" si="5"/>
        <v>82568.81</v>
      </c>
      <c r="G38" s="136">
        <f>107500*9+32500</f>
        <v>1000000</v>
      </c>
      <c r="H38" s="135"/>
      <c r="I38" s="156"/>
      <c r="J38" s="157"/>
      <c r="K38" s="160" t="s">
        <v>91</v>
      </c>
      <c r="L38" s="160" t="s">
        <v>92</v>
      </c>
      <c r="M38" s="153" t="s">
        <v>93</v>
      </c>
      <c r="N38" s="150"/>
      <c r="O38" s="155"/>
    </row>
    <row r="39" s="2" customFormat="1" ht="22" customHeight="1" spans="1:15">
      <c r="A39" s="37"/>
      <c r="B39" s="126">
        <f t="shared" si="4"/>
        <v>0</v>
      </c>
      <c r="C39" s="39"/>
      <c r="D39" s="40"/>
      <c r="E39" s="41"/>
      <c r="F39" s="121">
        <f t="shared" si="5"/>
        <v>0</v>
      </c>
      <c r="G39" s="138"/>
      <c r="H39" s="42">
        <v>44127</v>
      </c>
      <c r="I39" s="144">
        <v>150000</v>
      </c>
      <c r="J39" s="74" t="s">
        <v>20</v>
      </c>
      <c r="K39" s="76" t="s">
        <v>70</v>
      </c>
      <c r="L39" s="75" t="s">
        <v>71</v>
      </c>
      <c r="M39" s="153" t="s">
        <v>47</v>
      </c>
      <c r="N39" s="74"/>
      <c r="O39" s="75"/>
    </row>
    <row r="40" s="2" customFormat="1" ht="18" customHeight="1" spans="1:15">
      <c r="A40" s="37"/>
      <c r="B40" s="126">
        <f t="shared" si="4"/>
        <v>0</v>
      </c>
      <c r="C40" s="39"/>
      <c r="D40" s="40"/>
      <c r="E40" s="41"/>
      <c r="F40" s="121">
        <f t="shared" si="5"/>
        <v>0</v>
      </c>
      <c r="G40" s="138"/>
      <c r="H40" s="54">
        <v>44146</v>
      </c>
      <c r="I40" s="154">
        <v>-300000</v>
      </c>
      <c r="J40" s="82" t="s">
        <v>20</v>
      </c>
      <c r="K40" s="91" t="s">
        <v>63</v>
      </c>
      <c r="L40" s="84" t="s">
        <v>94</v>
      </c>
      <c r="M40" s="82"/>
      <c r="N40" s="82"/>
      <c r="O40" s="92" t="s">
        <v>95</v>
      </c>
    </row>
    <row r="41" s="2" customFormat="1" ht="18" customHeight="1" spans="1:15">
      <c r="A41" s="37"/>
      <c r="B41" s="126">
        <f t="shared" si="4"/>
        <v>0</v>
      </c>
      <c r="C41" s="39"/>
      <c r="D41" s="40"/>
      <c r="E41" s="41"/>
      <c r="F41" s="121">
        <f t="shared" si="5"/>
        <v>0</v>
      </c>
      <c r="G41" s="138"/>
      <c r="H41" s="55">
        <v>44146</v>
      </c>
      <c r="I41" s="162">
        <v>50000</v>
      </c>
      <c r="J41" s="88" t="s">
        <v>20</v>
      </c>
      <c r="K41" s="94" t="s">
        <v>96</v>
      </c>
      <c r="L41" s="95" t="s">
        <v>97</v>
      </c>
      <c r="M41" s="73"/>
      <c r="N41" s="74"/>
      <c r="O41" s="75"/>
    </row>
    <row r="42" s="2" customFormat="1" ht="18" customHeight="1" spans="1:15">
      <c r="A42" s="37"/>
      <c r="B42" s="126">
        <f t="shared" si="4"/>
        <v>0</v>
      </c>
      <c r="C42" s="39"/>
      <c r="D42" s="40"/>
      <c r="E42" s="41"/>
      <c r="F42" s="121">
        <f t="shared" si="5"/>
        <v>0</v>
      </c>
      <c r="G42" s="138"/>
      <c r="H42" s="56">
        <v>44146</v>
      </c>
      <c r="I42" s="163">
        <v>27328</v>
      </c>
      <c r="J42" s="74" t="s">
        <v>20</v>
      </c>
      <c r="K42" s="76" t="s">
        <v>39</v>
      </c>
      <c r="L42" s="75" t="s">
        <v>71</v>
      </c>
      <c r="M42" s="73"/>
      <c r="N42" s="74"/>
      <c r="O42" s="75"/>
    </row>
    <row r="43" s="115" customFormat="1" ht="18" customHeight="1" spans="1:15">
      <c r="A43" s="139">
        <v>44197</v>
      </c>
      <c r="B43" s="117">
        <f t="shared" si="4"/>
        <v>185628.32</v>
      </c>
      <c r="C43" s="140">
        <v>2</v>
      </c>
      <c r="D43" s="141" t="s">
        <v>41</v>
      </c>
      <c r="E43" s="142">
        <v>0.13</v>
      </c>
      <c r="F43" s="117">
        <f t="shared" si="5"/>
        <v>24131.68</v>
      </c>
      <c r="G43" s="143">
        <v>209760</v>
      </c>
      <c r="H43" s="56">
        <v>44153</v>
      </c>
      <c r="I43" s="144">
        <v>135610</v>
      </c>
      <c r="J43" s="150" t="s">
        <v>20</v>
      </c>
      <c r="K43" s="152" t="s">
        <v>96</v>
      </c>
      <c r="L43" s="151" t="s">
        <v>97</v>
      </c>
      <c r="M43" s="153" t="s">
        <v>98</v>
      </c>
      <c r="N43" s="150" t="s">
        <v>99</v>
      </c>
      <c r="O43" s="155"/>
    </row>
    <row r="44" s="2" customFormat="1" ht="18" customHeight="1" spans="1:15">
      <c r="A44" s="37"/>
      <c r="B44" s="126">
        <f t="shared" si="4"/>
        <v>0</v>
      </c>
      <c r="C44" s="39"/>
      <c r="D44" s="40"/>
      <c r="E44" s="41"/>
      <c r="F44" s="121">
        <f t="shared" si="5"/>
        <v>0</v>
      </c>
      <c r="G44" s="138"/>
      <c r="H44" s="56">
        <v>44160</v>
      </c>
      <c r="I44" s="154">
        <v>-214188</v>
      </c>
      <c r="J44" s="82" t="s">
        <v>20</v>
      </c>
      <c r="K44" s="91" t="s">
        <v>63</v>
      </c>
      <c r="L44" s="84" t="s">
        <v>94</v>
      </c>
      <c r="M44" s="82"/>
      <c r="N44" s="82"/>
      <c r="O44" s="84"/>
    </row>
    <row r="45" s="2" customFormat="1" ht="18" customHeight="1" spans="1:15">
      <c r="A45" s="37"/>
      <c r="B45" s="126">
        <f t="shared" si="4"/>
        <v>0</v>
      </c>
      <c r="C45" s="39"/>
      <c r="D45" s="40"/>
      <c r="E45" s="41"/>
      <c r="F45" s="121">
        <f t="shared" si="5"/>
        <v>0</v>
      </c>
      <c r="G45" s="138"/>
      <c r="H45" s="56">
        <v>44160</v>
      </c>
      <c r="I45" s="163">
        <v>200000</v>
      </c>
      <c r="J45" s="74" t="s">
        <v>20</v>
      </c>
      <c r="K45" s="76" t="s">
        <v>100</v>
      </c>
      <c r="L45" s="75" t="s">
        <v>101</v>
      </c>
      <c r="M45" s="73"/>
      <c r="N45" s="74"/>
      <c r="O45" s="75"/>
    </row>
    <row r="46" s="2" customFormat="1" ht="18" customHeight="1" spans="1:15">
      <c r="A46" s="37"/>
      <c r="B46" s="126">
        <f t="shared" si="4"/>
        <v>0</v>
      </c>
      <c r="C46" s="39"/>
      <c r="D46" s="40"/>
      <c r="E46" s="41"/>
      <c r="F46" s="121">
        <f t="shared" si="5"/>
        <v>0</v>
      </c>
      <c r="G46" s="138"/>
      <c r="H46" s="56">
        <v>44161</v>
      </c>
      <c r="I46" s="163">
        <v>60000</v>
      </c>
      <c r="J46" s="74" t="s">
        <v>20</v>
      </c>
      <c r="K46" s="76" t="s">
        <v>100</v>
      </c>
      <c r="L46" s="75" t="s">
        <v>101</v>
      </c>
      <c r="M46" s="73"/>
      <c r="N46" s="74"/>
      <c r="O46" s="75"/>
    </row>
    <row r="47" s="2" customFormat="1" ht="18" customHeight="1" spans="1:15">
      <c r="A47" s="37"/>
      <c r="B47" s="126">
        <f t="shared" si="4"/>
        <v>0</v>
      </c>
      <c r="C47" s="39"/>
      <c r="D47" s="40"/>
      <c r="E47" s="41"/>
      <c r="F47" s="121">
        <f t="shared" si="5"/>
        <v>0</v>
      </c>
      <c r="G47" s="138"/>
      <c r="H47" s="56">
        <v>44165</v>
      </c>
      <c r="I47" s="163">
        <v>24150</v>
      </c>
      <c r="J47" s="74" t="s">
        <v>20</v>
      </c>
      <c r="K47" s="76" t="s">
        <v>96</v>
      </c>
      <c r="L47" s="97" t="s">
        <v>102</v>
      </c>
      <c r="M47" s="153" t="s">
        <v>98</v>
      </c>
      <c r="N47" s="74"/>
      <c r="O47" s="75"/>
    </row>
    <row r="48" s="2" customFormat="1" ht="18" customHeight="1" spans="1:15">
      <c r="A48" s="37"/>
      <c r="B48" s="126">
        <f t="shared" si="4"/>
        <v>0</v>
      </c>
      <c r="C48" s="39"/>
      <c r="D48" s="40"/>
      <c r="E48" s="41"/>
      <c r="F48" s="121">
        <f t="shared" si="5"/>
        <v>0</v>
      </c>
      <c r="G48" s="138"/>
      <c r="H48" s="56">
        <v>44204</v>
      </c>
      <c r="I48" s="163">
        <v>80000</v>
      </c>
      <c r="J48" s="74" t="s">
        <v>20</v>
      </c>
      <c r="K48" s="164" t="s">
        <v>85</v>
      </c>
      <c r="L48" s="164" t="s">
        <v>103</v>
      </c>
      <c r="M48" s="73"/>
      <c r="N48" s="74"/>
      <c r="O48" s="75"/>
    </row>
    <row r="49" s="2" customFormat="1" ht="18" customHeight="1" spans="1:15">
      <c r="A49" s="37"/>
      <c r="B49" s="126">
        <f t="shared" si="4"/>
        <v>0</v>
      </c>
      <c r="C49" s="39"/>
      <c r="D49" s="40"/>
      <c r="E49" s="41"/>
      <c r="F49" s="121">
        <f t="shared" si="5"/>
        <v>0</v>
      </c>
      <c r="G49" s="138"/>
      <c r="H49" s="56">
        <v>44204</v>
      </c>
      <c r="I49" s="163">
        <f>2450000*0.5</f>
        <v>1225000</v>
      </c>
      <c r="J49" s="74" t="s">
        <v>20</v>
      </c>
      <c r="K49" s="164" t="s">
        <v>91</v>
      </c>
      <c r="L49" s="164" t="s">
        <v>104</v>
      </c>
      <c r="M49" s="73"/>
      <c r="N49" s="74"/>
      <c r="O49" s="75"/>
    </row>
    <row r="50" s="2" customFormat="1" ht="18" customHeight="1" spans="1:15">
      <c r="A50" s="37"/>
      <c r="B50" s="126">
        <f t="shared" si="4"/>
        <v>0</v>
      </c>
      <c r="C50" s="39"/>
      <c r="D50" s="40"/>
      <c r="E50" s="41"/>
      <c r="F50" s="121">
        <f t="shared" si="5"/>
        <v>0</v>
      </c>
      <c r="G50" s="138"/>
      <c r="H50" s="56">
        <v>44207</v>
      </c>
      <c r="I50" s="163">
        <f>2450000*0.5</f>
        <v>1225000</v>
      </c>
      <c r="J50" s="74" t="s">
        <v>20</v>
      </c>
      <c r="K50" s="164" t="s">
        <v>91</v>
      </c>
      <c r="L50" s="164" t="s">
        <v>104</v>
      </c>
      <c r="M50" s="73"/>
      <c r="N50" s="74"/>
      <c r="O50" s="75"/>
    </row>
    <row r="51" s="2" customFormat="1" ht="18" customHeight="1" spans="1:15">
      <c r="A51" s="37"/>
      <c r="B51" s="126">
        <f t="shared" si="4"/>
        <v>0</v>
      </c>
      <c r="C51" s="39"/>
      <c r="D51" s="40"/>
      <c r="E51" s="41"/>
      <c r="F51" s="121">
        <f t="shared" si="5"/>
        <v>0</v>
      </c>
      <c r="G51" s="138"/>
      <c r="H51" s="56">
        <v>44221</v>
      </c>
      <c r="I51" s="163">
        <v>1069841.77</v>
      </c>
      <c r="J51" s="74" t="s">
        <v>20</v>
      </c>
      <c r="K51" s="164" t="s">
        <v>79</v>
      </c>
      <c r="L51" s="164" t="s">
        <v>82</v>
      </c>
      <c r="M51" s="73"/>
      <c r="N51" s="74"/>
      <c r="O51" s="75"/>
    </row>
    <row r="52" s="2" customFormat="1" ht="18" customHeight="1" spans="1:15">
      <c r="A52" s="37"/>
      <c r="B52" s="126">
        <f t="shared" si="4"/>
        <v>0</v>
      </c>
      <c r="C52" s="39"/>
      <c r="D52" s="40"/>
      <c r="E52" s="41"/>
      <c r="F52" s="121">
        <f t="shared" si="5"/>
        <v>0</v>
      </c>
      <c r="G52" s="138"/>
      <c r="H52" s="56">
        <v>44236</v>
      </c>
      <c r="I52" s="163">
        <v>500000</v>
      </c>
      <c r="J52" s="74" t="s">
        <v>20</v>
      </c>
      <c r="K52" s="164" t="s">
        <v>105</v>
      </c>
      <c r="L52" s="164" t="s">
        <v>106</v>
      </c>
      <c r="M52" s="73"/>
      <c r="N52" s="74"/>
      <c r="O52" s="75"/>
    </row>
    <row r="53" s="2" customFormat="1" ht="18" customHeight="1" spans="1:15">
      <c r="A53" s="37"/>
      <c r="B53" s="126">
        <f t="shared" si="4"/>
        <v>0</v>
      </c>
      <c r="C53" s="39"/>
      <c r="D53" s="40"/>
      <c r="E53" s="41"/>
      <c r="F53" s="121">
        <f t="shared" si="5"/>
        <v>0</v>
      </c>
      <c r="G53" s="138"/>
      <c r="H53" s="56">
        <v>44236</v>
      </c>
      <c r="I53" s="163">
        <v>500000</v>
      </c>
      <c r="J53" s="74" t="s">
        <v>20</v>
      </c>
      <c r="K53" s="164" t="s">
        <v>37</v>
      </c>
      <c r="L53" s="164" t="s">
        <v>107</v>
      </c>
      <c r="M53" s="73" t="s">
        <v>108</v>
      </c>
      <c r="N53" s="74"/>
      <c r="O53" s="75"/>
    </row>
    <row r="54" s="115" customFormat="1" ht="18" customHeight="1" spans="1:15">
      <c r="A54" s="122">
        <v>44256</v>
      </c>
      <c r="B54" s="121">
        <f t="shared" si="4"/>
        <v>1000000.12</v>
      </c>
      <c r="C54" s="123" t="s">
        <v>109</v>
      </c>
      <c r="D54" s="124" t="s">
        <v>110</v>
      </c>
      <c r="E54" s="125"/>
      <c r="F54" s="121">
        <f t="shared" si="5"/>
        <v>0</v>
      </c>
      <c r="G54" s="136">
        <v>1000000.12</v>
      </c>
      <c r="H54" s="56"/>
      <c r="I54" s="165"/>
      <c r="J54" s="166"/>
      <c r="K54" s="167" t="s">
        <v>105</v>
      </c>
      <c r="L54" s="167" t="s">
        <v>111</v>
      </c>
      <c r="M54" s="168" t="s">
        <v>112</v>
      </c>
      <c r="N54" s="150"/>
      <c r="O54" s="151"/>
    </row>
    <row r="55" s="2" customFormat="1" ht="18" customHeight="1" spans="1:15">
      <c r="A55" s="37"/>
      <c r="B55" s="126">
        <f t="shared" si="4"/>
        <v>0</v>
      </c>
      <c r="C55" s="39"/>
      <c r="D55" s="40"/>
      <c r="E55" s="41"/>
      <c r="F55" s="121">
        <f t="shared" si="5"/>
        <v>0</v>
      </c>
      <c r="G55" s="138"/>
      <c r="H55" s="56">
        <v>44272</v>
      </c>
      <c r="I55" s="163">
        <v>500000</v>
      </c>
      <c r="J55" s="67" t="s">
        <v>20</v>
      </c>
      <c r="K55" s="169" t="s">
        <v>105</v>
      </c>
      <c r="L55" s="164" t="s">
        <v>106</v>
      </c>
      <c r="M55" s="73"/>
      <c r="N55" s="74"/>
      <c r="O55" s="75"/>
    </row>
    <row r="56" s="2" customFormat="1" ht="18" customHeight="1" spans="1:15">
      <c r="A56" s="37"/>
      <c r="B56" s="126">
        <f t="shared" si="4"/>
        <v>0</v>
      </c>
      <c r="C56" s="39"/>
      <c r="D56" s="40"/>
      <c r="E56" s="41"/>
      <c r="F56" s="121">
        <f t="shared" si="5"/>
        <v>0</v>
      </c>
      <c r="G56" s="138"/>
      <c r="H56" s="56">
        <v>44301</v>
      </c>
      <c r="I56" s="163">
        <v>500000</v>
      </c>
      <c r="J56" s="74" t="s">
        <v>20</v>
      </c>
      <c r="K56" s="164" t="s">
        <v>91</v>
      </c>
      <c r="L56" s="164" t="s">
        <v>92</v>
      </c>
      <c r="M56" s="73"/>
      <c r="N56" s="74"/>
      <c r="O56" s="75"/>
    </row>
    <row r="57" s="2" customFormat="1" ht="18" customHeight="1" spans="1:15">
      <c r="A57" s="37"/>
      <c r="B57" s="126"/>
      <c r="C57" s="39"/>
      <c r="D57" s="40"/>
      <c r="E57" s="41"/>
      <c r="F57" s="121"/>
      <c r="G57" s="138"/>
      <c r="H57" s="56">
        <v>44301</v>
      </c>
      <c r="I57" s="163">
        <v>58593.2</v>
      </c>
      <c r="J57" s="74" t="s">
        <v>20</v>
      </c>
      <c r="K57" s="164" t="s">
        <v>113</v>
      </c>
      <c r="L57" s="164" t="s">
        <v>114</v>
      </c>
      <c r="M57" s="73"/>
      <c r="N57" s="74"/>
      <c r="O57" s="85" t="s">
        <v>115</v>
      </c>
    </row>
    <row r="58" s="2" customFormat="1" ht="18" customHeight="1" spans="1:15">
      <c r="A58" s="37"/>
      <c r="B58" s="126"/>
      <c r="C58" s="39"/>
      <c r="D58" s="40"/>
      <c r="E58" s="41"/>
      <c r="F58" s="121"/>
      <c r="G58" s="138"/>
      <c r="H58" s="56">
        <v>44307</v>
      </c>
      <c r="I58" s="163">
        <v>500000</v>
      </c>
      <c r="J58" s="74" t="s">
        <v>20</v>
      </c>
      <c r="K58" s="164" t="s">
        <v>116</v>
      </c>
      <c r="L58" s="164" t="s">
        <v>71</v>
      </c>
      <c r="M58" s="73" t="s">
        <v>117</v>
      </c>
      <c r="N58" s="74"/>
      <c r="O58" s="85" t="s">
        <v>115</v>
      </c>
    </row>
    <row r="59" s="2" customFormat="1" ht="18" customHeight="1" spans="1:15">
      <c r="A59" s="37"/>
      <c r="B59" s="126"/>
      <c r="C59" s="39"/>
      <c r="D59" s="40"/>
      <c r="E59" s="41"/>
      <c r="F59" s="121"/>
      <c r="G59" s="138"/>
      <c r="H59" s="56"/>
      <c r="I59" s="163"/>
      <c r="J59" s="74"/>
      <c r="K59" s="164"/>
      <c r="L59" s="164"/>
      <c r="M59" s="73"/>
      <c r="N59" s="74"/>
      <c r="O59" s="75"/>
    </row>
    <row r="60" s="2" customFormat="1" ht="18" customHeight="1" spans="1:15">
      <c r="A60" s="37"/>
      <c r="B60" s="126"/>
      <c r="C60" s="39"/>
      <c r="D60" s="40"/>
      <c r="E60" s="41"/>
      <c r="F60" s="121"/>
      <c r="G60" s="138"/>
      <c r="H60" s="56"/>
      <c r="I60" s="163"/>
      <c r="J60" s="74"/>
      <c r="K60" s="164"/>
      <c r="L60" s="164"/>
      <c r="M60" s="73"/>
      <c r="N60" s="74"/>
      <c r="O60" s="75"/>
    </row>
    <row r="61" s="2" customFormat="1" ht="18" customHeight="1" spans="1:15">
      <c r="A61" s="37"/>
      <c r="B61" s="126"/>
      <c r="C61" s="39"/>
      <c r="D61" s="40"/>
      <c r="E61" s="41"/>
      <c r="F61" s="121"/>
      <c r="G61" s="138"/>
      <c r="H61" s="56"/>
      <c r="I61" s="163"/>
      <c r="J61" s="74"/>
      <c r="K61" s="164"/>
      <c r="L61" s="164"/>
      <c r="M61" s="73"/>
      <c r="N61" s="74"/>
      <c r="O61" s="75"/>
    </row>
    <row r="62" s="2" customFormat="1" ht="18" customHeight="1" spans="1:15">
      <c r="A62" s="37"/>
      <c r="B62" s="126"/>
      <c r="C62" s="39"/>
      <c r="D62" s="40"/>
      <c r="E62" s="41"/>
      <c r="F62" s="121"/>
      <c r="G62" s="138"/>
      <c r="H62" s="56">
        <v>44307</v>
      </c>
      <c r="I62" s="163">
        <v>1500</v>
      </c>
      <c r="J62" s="67" t="s">
        <v>118</v>
      </c>
      <c r="K62" s="164" t="s">
        <v>119</v>
      </c>
      <c r="L62" s="164"/>
      <c r="M62" s="73"/>
      <c r="N62" s="74"/>
      <c r="O62" s="75"/>
    </row>
    <row r="63" s="2" customFormat="1" ht="18" customHeight="1" spans="1:15">
      <c r="A63" s="37"/>
      <c r="B63" s="126"/>
      <c r="C63" s="39"/>
      <c r="D63" s="40"/>
      <c r="E63" s="41"/>
      <c r="F63" s="121"/>
      <c r="G63" s="138"/>
      <c r="H63" s="56">
        <v>44307</v>
      </c>
      <c r="I63" s="163">
        <v>100</v>
      </c>
      <c r="J63" s="67" t="s">
        <v>118</v>
      </c>
      <c r="K63" s="164" t="s">
        <v>120</v>
      </c>
      <c r="L63" s="164"/>
      <c r="M63" s="73"/>
      <c r="N63" s="74"/>
      <c r="O63" s="75"/>
    </row>
    <row r="64" s="2" customFormat="1" ht="18" customHeight="1" spans="1:15">
      <c r="A64" s="37"/>
      <c r="B64" s="126"/>
      <c r="C64" s="39"/>
      <c r="D64" s="40"/>
      <c r="E64" s="41"/>
      <c r="F64" s="121"/>
      <c r="G64" s="138"/>
      <c r="H64" s="56">
        <v>44299</v>
      </c>
      <c r="I64" s="163">
        <v>4000</v>
      </c>
      <c r="J64" s="74" t="s">
        <v>121</v>
      </c>
      <c r="K64" s="76" t="s">
        <v>122</v>
      </c>
      <c r="L64" s="164"/>
      <c r="M64" s="73"/>
      <c r="N64" s="74"/>
      <c r="O64" s="75"/>
    </row>
    <row r="65" s="2" customFormat="1" ht="18" customHeight="1" spans="1:15">
      <c r="A65" s="37"/>
      <c r="B65" s="126">
        <f>ROUND(G65/(1+E65),2)</f>
        <v>0</v>
      </c>
      <c r="C65" s="39"/>
      <c r="D65" s="40"/>
      <c r="E65" s="41"/>
      <c r="F65" s="121">
        <f>ROUND(G65/(1+E65)*E65,2)</f>
        <v>0</v>
      </c>
      <c r="G65" s="138"/>
      <c r="H65" s="56">
        <v>44299</v>
      </c>
      <c r="I65" s="163">
        <v>150</v>
      </c>
      <c r="J65" s="67" t="s">
        <v>118</v>
      </c>
      <c r="K65" s="76" t="s">
        <v>120</v>
      </c>
      <c r="L65" s="164"/>
      <c r="M65" s="73"/>
      <c r="N65" s="74"/>
      <c r="O65" s="75"/>
    </row>
    <row r="66" s="2" customFormat="1" ht="18" customHeight="1" spans="1:15">
      <c r="A66" s="37"/>
      <c r="B66" s="126">
        <f>ROUND(G66/(1+E66),2)</f>
        <v>0</v>
      </c>
      <c r="C66" s="39"/>
      <c r="D66" s="40"/>
      <c r="E66" s="41"/>
      <c r="F66" s="121">
        <f>ROUND(G66/(1+E66)*E66,2)</f>
        <v>0</v>
      </c>
      <c r="G66" s="138"/>
      <c r="H66" s="56">
        <v>44272</v>
      </c>
      <c r="I66" s="163">
        <v>100</v>
      </c>
      <c r="J66" s="67" t="s">
        <v>118</v>
      </c>
      <c r="K66" s="76" t="s">
        <v>120</v>
      </c>
      <c r="L66" s="164"/>
      <c r="M66" s="73"/>
      <c r="N66" s="74"/>
      <c r="O66" s="75"/>
    </row>
    <row r="67" s="2" customFormat="1" ht="18" customHeight="1" spans="1:15">
      <c r="A67" s="37"/>
      <c r="B67" s="126">
        <f>ROUND(G67/(1+E67),2)</f>
        <v>0</v>
      </c>
      <c r="C67" s="39"/>
      <c r="D67" s="40"/>
      <c r="E67" s="41"/>
      <c r="F67" s="121">
        <f>ROUND(G67/(1+E67)*E67,2)</f>
        <v>0</v>
      </c>
      <c r="G67" s="138"/>
      <c r="H67" s="56">
        <v>44272</v>
      </c>
      <c r="I67" s="163">
        <v>8000</v>
      </c>
      <c r="J67" s="74" t="s">
        <v>118</v>
      </c>
      <c r="K67" s="164" t="s">
        <v>123</v>
      </c>
      <c r="L67" s="164"/>
      <c r="M67" s="73"/>
      <c r="N67" s="74"/>
      <c r="O67" s="75"/>
    </row>
    <row r="68" s="2" customFormat="1" ht="18" customHeight="1" spans="1:15">
      <c r="A68" s="37"/>
      <c r="B68" s="126">
        <f>ROUND(G68/(1+E68),2)</f>
        <v>20000</v>
      </c>
      <c r="C68" s="39"/>
      <c r="D68" s="40"/>
      <c r="E68" s="41"/>
      <c r="F68" s="121">
        <f>ROUND(G68/(1+E68)*E68,2)</f>
        <v>0</v>
      </c>
      <c r="G68" s="138">
        <v>20000</v>
      </c>
      <c r="H68" s="56" t="s">
        <v>124</v>
      </c>
      <c r="I68" s="163">
        <v>20000</v>
      </c>
      <c r="J68" s="74" t="s">
        <v>118</v>
      </c>
      <c r="K68" s="76" t="s">
        <v>125</v>
      </c>
      <c r="L68" s="164"/>
      <c r="M68" s="73"/>
      <c r="N68" s="74"/>
      <c r="O68" s="75"/>
    </row>
    <row r="69" s="2" customFormat="1" ht="18" customHeight="1" spans="1:15">
      <c r="A69" s="37"/>
      <c r="B69" s="126">
        <f>ROUND(G69/(1+E69),2)</f>
        <v>0</v>
      </c>
      <c r="C69" s="39"/>
      <c r="D69" s="40"/>
      <c r="E69" s="41"/>
      <c r="F69" s="121">
        <f>ROUND(G69/(1+E69)*E69,2)</f>
        <v>0</v>
      </c>
      <c r="G69" s="138"/>
      <c r="H69" s="56" t="s">
        <v>124</v>
      </c>
      <c r="I69" s="163">
        <v>200</v>
      </c>
      <c r="J69" s="67" t="s">
        <v>118</v>
      </c>
      <c r="K69" s="76" t="s">
        <v>120</v>
      </c>
      <c r="L69" s="164"/>
      <c r="M69" s="73"/>
      <c r="N69" s="74"/>
      <c r="O69" s="75"/>
    </row>
    <row r="70" s="2" customFormat="1" ht="18" customHeight="1" spans="1:15">
      <c r="A70" s="37"/>
      <c r="B70" s="126">
        <f t="shared" ref="B68:B76" si="6">ROUND(G70/(1+E70),2)</f>
        <v>0</v>
      </c>
      <c r="C70" s="39"/>
      <c r="D70" s="40"/>
      <c r="E70" s="41"/>
      <c r="F70" s="121">
        <f t="shared" ref="F68:F76" si="7">ROUND(G70/(1+E70)*E70,2)</f>
        <v>0</v>
      </c>
      <c r="G70" s="138"/>
      <c r="H70" s="56" t="s">
        <v>124</v>
      </c>
      <c r="I70" s="163">
        <v>100</v>
      </c>
      <c r="J70" s="67" t="s">
        <v>118</v>
      </c>
      <c r="K70" s="76" t="s">
        <v>120</v>
      </c>
      <c r="L70" s="164"/>
      <c r="M70" s="73"/>
      <c r="N70" s="74"/>
      <c r="O70" s="75"/>
    </row>
    <row r="71" s="2" customFormat="1" ht="18" customHeight="1" spans="1:15">
      <c r="A71" s="37"/>
      <c r="B71" s="126">
        <f t="shared" si="6"/>
        <v>0</v>
      </c>
      <c r="C71" s="39"/>
      <c r="D71" s="40"/>
      <c r="E71" s="41"/>
      <c r="F71" s="121">
        <f t="shared" si="7"/>
        <v>0</v>
      </c>
      <c r="G71" s="138"/>
      <c r="H71" s="56" t="s">
        <v>124</v>
      </c>
      <c r="I71" s="163">
        <v>200</v>
      </c>
      <c r="J71" s="67" t="s">
        <v>118</v>
      </c>
      <c r="K71" s="76" t="s">
        <v>120</v>
      </c>
      <c r="L71" s="164"/>
      <c r="M71" s="73"/>
      <c r="N71" s="74"/>
      <c r="O71" s="75"/>
    </row>
    <row r="72" s="2" customFormat="1" ht="18" customHeight="1" spans="1:15">
      <c r="A72" s="37"/>
      <c r="B72" s="126">
        <f t="shared" si="6"/>
        <v>0</v>
      </c>
      <c r="C72" s="39"/>
      <c r="D72" s="40"/>
      <c r="E72" s="41"/>
      <c r="F72" s="121">
        <f t="shared" si="7"/>
        <v>0</v>
      </c>
      <c r="G72" s="138"/>
      <c r="H72" s="56" t="s">
        <v>124</v>
      </c>
      <c r="I72" s="163">
        <v>72967.96</v>
      </c>
      <c r="J72" s="74" t="s">
        <v>118</v>
      </c>
      <c r="K72" s="76" t="s">
        <v>126</v>
      </c>
      <c r="L72" s="171"/>
      <c r="M72" s="73"/>
      <c r="N72" s="74"/>
      <c r="O72" s="75"/>
    </row>
    <row r="73" s="2" customFormat="1" ht="18" customHeight="1" spans="1:15">
      <c r="A73" s="37"/>
      <c r="B73" s="126">
        <f t="shared" si="6"/>
        <v>120000</v>
      </c>
      <c r="C73" s="39"/>
      <c r="D73" s="40"/>
      <c r="E73" s="41"/>
      <c r="F73" s="121">
        <f t="shared" si="7"/>
        <v>0</v>
      </c>
      <c r="G73" s="138">
        <f>I73</f>
        <v>120000</v>
      </c>
      <c r="H73" s="56" t="s">
        <v>124</v>
      </c>
      <c r="I73" s="163">
        <v>120000</v>
      </c>
      <c r="J73" s="74" t="s">
        <v>118</v>
      </c>
      <c r="K73" s="76" t="s">
        <v>125</v>
      </c>
      <c r="L73" s="171"/>
      <c r="M73" s="73"/>
      <c r="N73" s="74"/>
      <c r="O73" s="75"/>
    </row>
    <row r="74" s="2" customFormat="1" ht="18" customHeight="1" spans="1:15">
      <c r="A74" s="37"/>
      <c r="B74" s="126">
        <f t="shared" si="6"/>
        <v>0</v>
      </c>
      <c r="C74" s="39"/>
      <c r="D74" s="40"/>
      <c r="E74" s="41"/>
      <c r="F74" s="121">
        <f t="shared" si="7"/>
        <v>0</v>
      </c>
      <c r="G74" s="138"/>
      <c r="H74" s="57" t="s">
        <v>124</v>
      </c>
      <c r="I74" s="154">
        <v>1514188</v>
      </c>
      <c r="J74" s="82" t="s">
        <v>118</v>
      </c>
      <c r="K74" s="83" t="s">
        <v>127</v>
      </c>
      <c r="L74" s="172"/>
      <c r="M74" s="173"/>
      <c r="N74" s="82"/>
      <c r="O74" s="84"/>
    </row>
    <row r="75" s="2" customFormat="1" ht="18" customHeight="1" spans="1:15">
      <c r="A75" s="37"/>
      <c r="B75" s="126">
        <f t="shared" si="6"/>
        <v>0</v>
      </c>
      <c r="C75" s="39"/>
      <c r="D75" s="40"/>
      <c r="E75" s="41"/>
      <c r="F75" s="121">
        <f t="shared" si="7"/>
        <v>0</v>
      </c>
      <c r="G75" s="138"/>
      <c r="H75" s="57" t="s">
        <v>124</v>
      </c>
      <c r="I75" s="163">
        <v>97280</v>
      </c>
      <c r="J75" s="74" t="s">
        <v>118</v>
      </c>
      <c r="K75" s="76" t="s">
        <v>128</v>
      </c>
      <c r="L75" s="104"/>
      <c r="M75" s="100"/>
      <c r="N75" s="74"/>
      <c r="O75" s="75"/>
    </row>
    <row r="76" s="2" customFormat="1" ht="18" customHeight="1" spans="1:15">
      <c r="A76" s="37"/>
      <c r="B76" s="126">
        <f t="shared" si="6"/>
        <v>0</v>
      </c>
      <c r="C76" s="39"/>
      <c r="D76" s="40"/>
      <c r="E76" s="41"/>
      <c r="F76" s="121">
        <f t="shared" si="7"/>
        <v>0</v>
      </c>
      <c r="G76" s="138"/>
      <c r="H76" s="57" t="s">
        <v>124</v>
      </c>
      <c r="I76" s="163">
        <v>1300</v>
      </c>
      <c r="J76" s="67" t="s">
        <v>118</v>
      </c>
      <c r="K76" s="76" t="s">
        <v>120</v>
      </c>
      <c r="L76" s="97"/>
      <c r="M76" s="100"/>
      <c r="N76" s="74"/>
      <c r="O76" s="75"/>
    </row>
    <row r="77" ht="18" customHeight="1" spans="1:15">
      <c r="A77" s="32" t="s">
        <v>22</v>
      </c>
      <c r="B77" s="119">
        <f>SUM(B14:B76)</f>
        <v>10609293.63</v>
      </c>
      <c r="C77" s="32"/>
      <c r="D77" s="58"/>
      <c r="E77" s="58"/>
      <c r="F77" s="120">
        <f>SUM(F14:F76)</f>
        <v>668306.49</v>
      </c>
      <c r="G77" s="170">
        <f>SUM(G14:G76)</f>
        <v>11277600.12</v>
      </c>
      <c r="H77" s="60"/>
      <c r="I77" s="21">
        <f>SUM(I14:I76)</f>
        <v>7978175.93</v>
      </c>
      <c r="J77" s="105"/>
      <c r="K77" s="58"/>
      <c r="L77" s="35"/>
      <c r="M77" s="67"/>
      <c r="N77" s="67" t="s">
        <v>129</v>
      </c>
      <c r="O77" s="35"/>
    </row>
    <row r="78" ht="18" customHeight="1" spans="1:15">
      <c r="A78" s="61" t="s">
        <v>130</v>
      </c>
      <c r="B78" s="61">
        <f>B11*0.96</f>
        <v>8567779.81651376</v>
      </c>
      <c r="C78" s="61"/>
      <c r="D78" s="63"/>
      <c r="E78" s="63"/>
      <c r="F78" s="62"/>
      <c r="G78" s="61">
        <f>G11-G77</f>
        <v>-1549600.12</v>
      </c>
      <c r="H78" s="23" t="s">
        <v>131</v>
      </c>
      <c r="I78" s="21">
        <f>I11-I77</f>
        <v>21824.0700000003</v>
      </c>
      <c r="J78" s="8"/>
      <c r="M78" s="106"/>
      <c r="N78" s="106"/>
      <c r="O78" s="8" t="s">
        <v>132</v>
      </c>
    </row>
    <row r="79" ht="18" customHeight="1" spans="1:14">
      <c r="A79" s="61" t="s">
        <v>133</v>
      </c>
      <c r="B79" s="61">
        <f>B78-B77</f>
        <v>-2041513.81348624</v>
      </c>
      <c r="C79" s="61"/>
      <c r="D79" s="63"/>
      <c r="E79" s="63"/>
      <c r="F79" s="62"/>
      <c r="G79" s="62"/>
      <c r="H79" s="107"/>
      <c r="I79" s="113"/>
      <c r="J79" s="8"/>
      <c r="M79" s="106"/>
      <c r="N79" s="106"/>
    </row>
    <row r="80" ht="18" customHeight="1" spans="1:11">
      <c r="A80" s="3" t="s">
        <v>134</v>
      </c>
      <c r="C80" s="3"/>
      <c r="K80" s="114"/>
    </row>
    <row r="81" ht="18" customHeight="1" spans="1:7">
      <c r="A81" s="23" t="s">
        <v>135</v>
      </c>
      <c r="B81" s="22" t="s">
        <v>136</v>
      </c>
      <c r="C81" s="35"/>
      <c r="D81" s="23" t="s">
        <v>135</v>
      </c>
      <c r="E81" s="21" t="s">
        <v>15</v>
      </c>
      <c r="F81" s="22" t="s">
        <v>136</v>
      </c>
      <c r="G81" s="22" t="s">
        <v>137</v>
      </c>
    </row>
    <row r="82" ht="18" customHeight="1" spans="1:7">
      <c r="A82" s="35" t="s">
        <v>138</v>
      </c>
      <c r="B82" s="19">
        <f>(B78-B77)*0.25</f>
        <v>-510378.45337156</v>
      </c>
      <c r="C82" s="35"/>
      <c r="D82" s="30" t="s">
        <v>139</v>
      </c>
      <c r="E82" s="23" t="s">
        <v>140</v>
      </c>
      <c r="F82" s="34">
        <f>F11-F77</f>
        <v>-43572.5450458721</v>
      </c>
      <c r="G82" s="34">
        <f>F7-SUM(F16:F38)</f>
        <v>-19440.8650458721</v>
      </c>
    </row>
    <row r="83" ht="18" customHeight="1" spans="1:7">
      <c r="A83" s="35" t="s">
        <v>141</v>
      </c>
      <c r="B83" s="108"/>
      <c r="C83" s="35"/>
      <c r="D83" s="109" t="s">
        <v>142</v>
      </c>
      <c r="E83" s="15">
        <v>0.07</v>
      </c>
      <c r="F83" s="25">
        <f>F82*E83</f>
        <v>-3050.07815321105</v>
      </c>
      <c r="G83" s="25">
        <f>G82*E83</f>
        <v>-1360.86055321104</v>
      </c>
    </row>
    <row r="84" ht="18" customHeight="1" spans="1:8">
      <c r="A84" s="35" t="s">
        <v>143</v>
      </c>
      <c r="B84" s="108"/>
      <c r="C84" s="35"/>
      <c r="D84" s="109" t="s">
        <v>144</v>
      </c>
      <c r="E84" s="15">
        <v>0.03</v>
      </c>
      <c r="F84" s="25">
        <f>F82*E84</f>
        <v>-1307.17635137616</v>
      </c>
      <c r="G84" s="25">
        <f>G82*E84</f>
        <v>-583.225951376162</v>
      </c>
      <c r="H84" s="5" t="s">
        <v>132</v>
      </c>
    </row>
    <row r="85" ht="18" customHeight="1" spans="1:7">
      <c r="A85" s="35"/>
      <c r="B85" s="25"/>
      <c r="C85" s="35"/>
      <c r="D85" s="109" t="s">
        <v>145</v>
      </c>
      <c r="E85" s="15">
        <v>0.02</v>
      </c>
      <c r="F85" s="25">
        <f>F82*E85</f>
        <v>-871.450900917442</v>
      </c>
      <c r="G85" s="25">
        <f>G82*E85</f>
        <v>-388.817300917441</v>
      </c>
    </row>
    <row r="86" ht="18" customHeight="1" spans="1:7">
      <c r="A86" s="30" t="s">
        <v>146</v>
      </c>
      <c r="B86" s="31">
        <f>SUM(B82:B85)</f>
        <v>-510378.45337156</v>
      </c>
      <c r="C86" s="35"/>
      <c r="D86" s="36" t="s">
        <v>146</v>
      </c>
      <c r="E86" s="30"/>
      <c r="F86" s="34">
        <f>SUM(F82:F85)</f>
        <v>-48801.2504513768</v>
      </c>
      <c r="G86" s="34">
        <f>SUM(G82:G85)</f>
        <v>-21773.7688513767</v>
      </c>
    </row>
    <row r="87" ht="18" customHeight="1" spans="3:7">
      <c r="C87" s="3"/>
      <c r="D87" s="32" t="s">
        <v>138</v>
      </c>
      <c r="E87" s="58">
        <v>0.01</v>
      </c>
      <c r="F87" s="33">
        <f>G11*E87</f>
        <v>97280</v>
      </c>
      <c r="G87" s="33">
        <f>G7*E87</f>
        <v>97280</v>
      </c>
    </row>
    <row r="88" ht="21" customHeight="1" spans="3:7">
      <c r="C88" s="3"/>
      <c r="D88" s="35" t="s">
        <v>141</v>
      </c>
      <c r="E88" s="110">
        <v>0.0003</v>
      </c>
      <c r="F88" s="110" t="s">
        <v>147</v>
      </c>
      <c r="G88" s="110">
        <v>0</v>
      </c>
    </row>
    <row r="89" ht="21" customHeight="1" spans="3:7">
      <c r="C89" s="3"/>
      <c r="D89" s="111" t="s">
        <v>143</v>
      </c>
      <c r="E89" s="112">
        <v>0.0006</v>
      </c>
      <c r="F89" s="112" t="s">
        <v>147</v>
      </c>
      <c r="G89" s="110">
        <v>0</v>
      </c>
    </row>
    <row r="90" ht="21" customHeight="1" spans="3:6">
      <c r="C90" s="3"/>
      <c r="D90" s="13" t="s">
        <v>148</v>
      </c>
      <c r="E90" s="13" t="s">
        <v>15</v>
      </c>
      <c r="F90" s="17" t="s">
        <v>136</v>
      </c>
    </row>
    <row r="91" ht="21" customHeight="1" spans="3:6">
      <c r="C91" s="3"/>
      <c r="D91" s="13" t="s">
        <v>139</v>
      </c>
      <c r="E91" s="13" t="s">
        <v>140</v>
      </c>
      <c r="F91" s="25">
        <v>367944.814954128</v>
      </c>
    </row>
    <row r="92" ht="21" customHeight="1" spans="3:6">
      <c r="C92" s="3"/>
      <c r="D92" s="13" t="s">
        <v>142</v>
      </c>
      <c r="E92" s="13">
        <v>0.07</v>
      </c>
      <c r="F92" s="25">
        <v>25756.137046789</v>
      </c>
    </row>
    <row r="93" ht="21" customHeight="1" spans="3:6">
      <c r="C93" s="3"/>
      <c r="D93" s="13" t="s">
        <v>144</v>
      </c>
      <c r="E93" s="13">
        <v>0.03</v>
      </c>
      <c r="F93" s="25">
        <v>11038.3444486238</v>
      </c>
    </row>
    <row r="94" ht="21" customHeight="1" spans="3:6">
      <c r="C94" s="3"/>
      <c r="D94" s="13" t="s">
        <v>145</v>
      </c>
      <c r="E94" s="13">
        <v>0.02</v>
      </c>
      <c r="F94" s="25">
        <v>7358.89629908257</v>
      </c>
    </row>
    <row r="95" ht="21" customHeight="1" spans="3:6">
      <c r="C95" s="3"/>
      <c r="D95" s="13" t="s">
        <v>146</v>
      </c>
      <c r="E95" s="13"/>
      <c r="F95" s="25">
        <v>412098.192748623</v>
      </c>
    </row>
    <row r="96" ht="24" customHeight="1" spans="3:3">
      <c r="C96" s="3"/>
    </row>
    <row r="97" ht="24" customHeight="1" spans="3:3">
      <c r="C97" s="3"/>
    </row>
    <row r="98" ht="24" customHeight="1" spans="3:3">
      <c r="C98" s="3"/>
    </row>
    <row r="99" ht="24" customHeight="1" spans="3:3">
      <c r="C99" s="3"/>
    </row>
    <row r="100" ht="24" customHeight="1" spans="3:3">
      <c r="C100" s="3"/>
    </row>
    <row r="101" ht="24" customHeight="1" spans="3:3">
      <c r="C101" s="3"/>
    </row>
    <row r="102" ht="24" customHeight="1" spans="3:3">
      <c r="C102" s="3"/>
    </row>
    <row r="103" ht="24" customHeight="1" spans="3:3">
      <c r="C103" s="3"/>
    </row>
    <row r="104" spans="3:3">
      <c r="C104" s="3"/>
    </row>
    <row r="105" spans="3:3">
      <c r="C105" s="3"/>
    </row>
    <row r="106" spans="3:3">
      <c r="C106" s="3"/>
    </row>
  </sheetData>
  <protectedRanges>
    <protectedRange sqref="L28" name="区域1"/>
    <protectedRange sqref="L47" name="区域1_1"/>
  </protectedRanges>
  <autoFilter ref="A13:O9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"/>
  <sheetViews>
    <sheetView workbookViewId="0">
      <selection activeCell="D50" sqref="D50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5.75" style="4" customWidth="1"/>
    <col min="8" max="8" width="20.25" style="5" customWidth="1"/>
    <col min="9" max="9" width="11.125" style="6" customWidth="1"/>
    <col min="10" max="10" width="4.625" style="7" customWidth="1"/>
    <col min="11" max="11" width="31.5" style="8" customWidth="1"/>
    <col min="12" max="12" width="12.75" style="8" customWidth="1"/>
    <col min="13" max="13" width="15" style="8" customWidth="1"/>
    <col min="14" max="14" width="5.625" style="8" customWidth="1"/>
    <col min="15" max="16384" width="9" style="8"/>
  </cols>
  <sheetData>
    <row r="1" ht="21.95" customHeight="1" spans="1:12">
      <c r="A1" s="9" t="s">
        <v>0</v>
      </c>
      <c r="B1" s="9"/>
      <c r="C1" s="9"/>
      <c r="D1" s="9"/>
      <c r="E1" s="9"/>
      <c r="F1" s="10"/>
      <c r="G1" s="10"/>
      <c r="H1" s="9"/>
      <c r="I1" s="10"/>
      <c r="J1" s="9"/>
      <c r="K1" s="20"/>
      <c r="L1" s="20"/>
    </row>
    <row r="2" ht="18" customHeight="1" spans="1:12">
      <c r="A2" s="11" t="s">
        <v>1</v>
      </c>
      <c r="B2" s="12">
        <v>43769</v>
      </c>
      <c r="C2" s="13" t="s">
        <v>2</v>
      </c>
      <c r="D2" s="14">
        <v>48638519.15</v>
      </c>
      <c r="E2" s="15" t="s">
        <v>3</v>
      </c>
      <c r="F2" s="16" t="s">
        <v>4</v>
      </c>
      <c r="G2" s="17" t="s">
        <v>5</v>
      </c>
      <c r="H2" s="18"/>
      <c r="I2" s="64"/>
      <c r="J2" s="65"/>
      <c r="K2" s="20"/>
      <c r="L2" s="20"/>
    </row>
    <row r="3" ht="18" customHeight="1" spans="1:14">
      <c r="A3" s="11" t="s">
        <v>6</v>
      </c>
      <c r="B3" s="19"/>
      <c r="C3" s="13" t="s">
        <v>7</v>
      </c>
      <c r="D3" s="13"/>
      <c r="H3" s="20"/>
      <c r="I3" s="66"/>
      <c r="J3" s="20"/>
      <c r="K3" s="20"/>
      <c r="L3" s="20"/>
      <c r="N3" s="20"/>
    </row>
    <row r="4" ht="18" customHeight="1" spans="1:12">
      <c r="A4" s="3" t="s">
        <v>8</v>
      </c>
      <c r="H4" s="20"/>
      <c r="I4" s="66"/>
      <c r="J4" s="20"/>
      <c r="L4" s="20"/>
    </row>
    <row r="5" ht="18" customHeight="1" spans="1:10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3"/>
    </row>
    <row r="6" ht="18" customHeight="1" spans="1:10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3" t="s">
        <v>19</v>
      </c>
    </row>
    <row r="7" ht="18" customHeight="1" spans="1:10">
      <c r="A7" s="24">
        <v>44167</v>
      </c>
      <c r="B7" s="25">
        <f t="shared" ref="B7:B8" si="0">G7/(1+C7+E7)</f>
        <v>8924770.64220183</v>
      </c>
      <c r="C7" s="26">
        <v>0.02</v>
      </c>
      <c r="D7" s="27">
        <f t="shared" ref="D7:D8" si="1">G7/(1+E7+C7)*C7</f>
        <v>178495.412844037</v>
      </c>
      <c r="E7" s="28">
        <v>0.07</v>
      </c>
      <c r="F7" s="25">
        <f t="shared" ref="F7:F8" si="2">G7/(1+C7+E7)*E7</f>
        <v>624733.944954128</v>
      </c>
      <c r="G7" s="29">
        <v>9728000</v>
      </c>
      <c r="H7" s="24">
        <v>44189</v>
      </c>
      <c r="I7" s="17">
        <v>6000000</v>
      </c>
      <c r="J7" s="67" t="s">
        <v>20</v>
      </c>
    </row>
    <row r="8" ht="18" customHeight="1" spans="1:10">
      <c r="A8" s="24"/>
      <c r="B8" s="25">
        <f t="shared" si="0"/>
        <v>0</v>
      </c>
      <c r="C8" s="26">
        <v>0.02</v>
      </c>
      <c r="D8" s="27">
        <f t="shared" si="1"/>
        <v>0</v>
      </c>
      <c r="E8" s="26">
        <v>0.08</v>
      </c>
      <c r="F8" s="25">
        <f t="shared" si="2"/>
        <v>0</v>
      </c>
      <c r="G8" s="29"/>
      <c r="H8" s="24">
        <v>44235</v>
      </c>
      <c r="I8" s="17">
        <v>1000000</v>
      </c>
      <c r="J8" s="67" t="s">
        <v>20</v>
      </c>
    </row>
    <row r="9" ht="18" customHeight="1" spans="1:10">
      <c r="A9" s="24"/>
      <c r="B9" s="25">
        <f t="shared" ref="B8:B10" si="3">G9/(1+C9+E9)</f>
        <v>0</v>
      </c>
      <c r="C9" s="26">
        <v>0.02</v>
      </c>
      <c r="D9" s="27">
        <f t="shared" ref="D8:D10" si="4">G9/(1+E9+C9)*C9</f>
        <v>0</v>
      </c>
      <c r="E9" s="26">
        <v>0.08</v>
      </c>
      <c r="F9" s="25">
        <f t="shared" ref="F8:F10" si="5">G9/(1+C9+E9)*E9</f>
        <v>0</v>
      </c>
      <c r="G9" s="29"/>
      <c r="H9" s="24"/>
      <c r="I9" s="17"/>
      <c r="J9" s="67"/>
    </row>
    <row r="10" ht="18" customHeight="1" spans="1:10">
      <c r="A10" s="24"/>
      <c r="B10" s="25">
        <f t="shared" si="3"/>
        <v>0</v>
      </c>
      <c r="C10" s="26">
        <v>0.02</v>
      </c>
      <c r="D10" s="27">
        <f t="shared" si="4"/>
        <v>0</v>
      </c>
      <c r="E10" s="26">
        <v>0.08</v>
      </c>
      <c r="F10" s="25">
        <f t="shared" si="5"/>
        <v>0</v>
      </c>
      <c r="G10" s="29"/>
      <c r="H10" s="24"/>
      <c r="I10" s="17"/>
      <c r="J10" s="67"/>
    </row>
    <row r="11" ht="18" customHeight="1" spans="1:10">
      <c r="A11" s="30" t="s">
        <v>22</v>
      </c>
      <c r="B11" s="31">
        <f>SUM(B7:B10)</f>
        <v>8924770.64220183</v>
      </c>
      <c r="C11" s="32"/>
      <c r="D11" s="33">
        <f t="shared" ref="D11:G11" si="6">SUM(D7:D10)</f>
        <v>178495.412844037</v>
      </c>
      <c r="E11" s="32"/>
      <c r="F11" s="34">
        <f t="shared" si="6"/>
        <v>624733.944954128</v>
      </c>
      <c r="G11" s="33">
        <f t="shared" si="6"/>
        <v>9728000</v>
      </c>
      <c r="H11" s="35"/>
      <c r="I11" s="22">
        <f>SUM(I7:I10)</f>
        <v>7000000</v>
      </c>
      <c r="J11" s="35"/>
    </row>
    <row r="12" ht="18" customHeight="1" spans="1:12">
      <c r="A12" s="3" t="s">
        <v>23</v>
      </c>
      <c r="J12" s="5"/>
      <c r="K12" s="5"/>
      <c r="L12" s="7"/>
    </row>
    <row r="13" ht="18" customHeight="1" spans="1:15">
      <c r="A13" s="36" t="s">
        <v>24</v>
      </c>
      <c r="B13" s="22" t="s">
        <v>25</v>
      </c>
      <c r="C13" s="21" t="s">
        <v>26</v>
      </c>
      <c r="D13" s="21" t="s">
        <v>27</v>
      </c>
      <c r="E13" s="21" t="s">
        <v>15</v>
      </c>
      <c r="F13" s="22" t="s">
        <v>28</v>
      </c>
      <c r="G13" s="22" t="s">
        <v>13</v>
      </c>
      <c r="H13" s="21" t="s">
        <v>29</v>
      </c>
      <c r="I13" s="22" t="s">
        <v>30</v>
      </c>
      <c r="J13" s="21" t="s">
        <v>19</v>
      </c>
      <c r="K13" s="68" t="s">
        <v>31</v>
      </c>
      <c r="L13" s="69" t="s">
        <v>32</v>
      </c>
      <c r="M13" s="23" t="s">
        <v>33</v>
      </c>
      <c r="N13" s="23" t="s">
        <v>34</v>
      </c>
      <c r="O13" s="23" t="s">
        <v>35</v>
      </c>
    </row>
    <row r="14" s="2" customFormat="1" ht="18" customHeight="1" spans="1:15">
      <c r="A14" s="37"/>
      <c r="B14" s="38">
        <f t="shared" ref="B14:B60" si="7">ROUND(G14/(1+E14),2)</f>
        <v>0</v>
      </c>
      <c r="C14" s="39"/>
      <c r="D14" s="40"/>
      <c r="E14" s="41"/>
      <c r="F14" s="38">
        <f t="shared" ref="F14:F40" si="8">ROUND(G14/(1+E14)*E14,2)</f>
        <v>0</v>
      </c>
      <c r="G14" s="29"/>
      <c r="H14" s="42">
        <v>44041</v>
      </c>
      <c r="I14" s="70">
        <v>-400000</v>
      </c>
      <c r="J14" s="71" t="s">
        <v>36</v>
      </c>
      <c r="K14" s="72" t="s">
        <v>37</v>
      </c>
      <c r="L14" s="72" t="s">
        <v>38</v>
      </c>
      <c r="M14" s="73"/>
      <c r="N14" s="74"/>
      <c r="O14" s="75"/>
    </row>
    <row r="15" s="2" customFormat="1" ht="18" customHeight="1" spans="1:15">
      <c r="A15" s="37"/>
      <c r="B15" s="38">
        <f t="shared" si="7"/>
        <v>0</v>
      </c>
      <c r="C15" s="39"/>
      <c r="D15" s="40"/>
      <c r="E15" s="43"/>
      <c r="F15" s="38">
        <f t="shared" si="8"/>
        <v>0</v>
      </c>
      <c r="G15" s="29"/>
      <c r="H15" s="42">
        <v>44042</v>
      </c>
      <c r="I15" s="70">
        <v>159000</v>
      </c>
      <c r="J15" s="71" t="s">
        <v>20</v>
      </c>
      <c r="K15" s="76" t="s">
        <v>39</v>
      </c>
      <c r="L15" s="75" t="s">
        <v>40</v>
      </c>
      <c r="M15" s="73"/>
      <c r="N15" s="74"/>
      <c r="O15" s="75"/>
    </row>
    <row r="16" s="2" customFormat="1" ht="18" customHeight="1" spans="1:15">
      <c r="A16" s="37">
        <v>44063</v>
      </c>
      <c r="B16" s="38">
        <f t="shared" si="7"/>
        <v>15094.34</v>
      </c>
      <c r="C16" s="39"/>
      <c r="D16" s="40" t="s">
        <v>41</v>
      </c>
      <c r="E16" s="41">
        <v>0.06</v>
      </c>
      <c r="F16" s="38">
        <f t="shared" si="8"/>
        <v>905.66</v>
      </c>
      <c r="G16" s="29">
        <f>8000+8000</f>
        <v>16000</v>
      </c>
      <c r="H16" s="24"/>
      <c r="I16" s="77"/>
      <c r="J16" s="67"/>
      <c r="K16" s="78" t="s">
        <v>42</v>
      </c>
      <c r="L16" s="79" t="s">
        <v>43</v>
      </c>
      <c r="M16" s="74"/>
      <c r="N16" s="74"/>
      <c r="O16" s="75"/>
    </row>
    <row r="17" s="2" customFormat="1" ht="18" customHeight="1" spans="1:15">
      <c r="A17" s="37">
        <v>44094</v>
      </c>
      <c r="B17" s="38">
        <f t="shared" si="7"/>
        <v>188679.25</v>
      </c>
      <c r="C17" s="39">
        <v>2</v>
      </c>
      <c r="D17" s="40" t="s">
        <v>41</v>
      </c>
      <c r="E17" s="41">
        <v>0.06</v>
      </c>
      <c r="F17" s="38">
        <f t="shared" si="8"/>
        <v>11320.75</v>
      </c>
      <c r="G17" s="29">
        <f>200000</f>
        <v>200000</v>
      </c>
      <c r="H17" s="24"/>
      <c r="I17" s="77"/>
      <c r="J17" s="67"/>
      <c r="K17" s="76" t="s">
        <v>44</v>
      </c>
      <c r="L17" s="75" t="s">
        <v>45</v>
      </c>
      <c r="M17" s="80" t="s">
        <v>46</v>
      </c>
      <c r="N17" s="74"/>
      <c r="O17" s="75"/>
    </row>
    <row r="18" s="2" customFormat="1" ht="18" customHeight="1" spans="1:15">
      <c r="A18" s="37">
        <v>44094</v>
      </c>
      <c r="B18" s="38">
        <f t="shared" si="7"/>
        <v>144929.2</v>
      </c>
      <c r="C18" s="39">
        <v>1</v>
      </c>
      <c r="D18" s="40" t="s">
        <v>41</v>
      </c>
      <c r="E18" s="41">
        <v>0.13</v>
      </c>
      <c r="F18" s="38">
        <f t="shared" si="8"/>
        <v>18840.8</v>
      </c>
      <c r="G18" s="29">
        <v>163770</v>
      </c>
      <c r="H18" s="24"/>
      <c r="I18" s="77"/>
      <c r="J18" s="67"/>
      <c r="K18" s="76" t="s">
        <v>39</v>
      </c>
      <c r="L18" s="75" t="s">
        <v>40</v>
      </c>
      <c r="M18" s="80" t="s">
        <v>47</v>
      </c>
      <c r="N18" s="74"/>
      <c r="O18" s="75"/>
    </row>
    <row r="19" s="2" customFormat="1" ht="18" customHeight="1" spans="1:15">
      <c r="A19" s="37">
        <v>44094</v>
      </c>
      <c r="B19" s="38">
        <f t="shared" si="7"/>
        <v>163903.77</v>
      </c>
      <c r="C19" s="39">
        <v>2</v>
      </c>
      <c r="D19" s="40" t="s">
        <v>41</v>
      </c>
      <c r="E19" s="41">
        <v>0.06</v>
      </c>
      <c r="F19" s="38">
        <f t="shared" si="8"/>
        <v>9834.23</v>
      </c>
      <c r="G19" s="29">
        <f>73738+100000</f>
        <v>173738</v>
      </c>
      <c r="H19" s="24"/>
      <c r="I19" s="77"/>
      <c r="J19" s="67"/>
      <c r="K19" s="76" t="s">
        <v>48</v>
      </c>
      <c r="L19" s="75" t="s">
        <v>49</v>
      </c>
      <c r="M19" s="74"/>
      <c r="N19" s="74"/>
      <c r="O19" s="75"/>
    </row>
    <row r="20" s="2" customFormat="1" ht="18" customHeight="1" spans="1:15">
      <c r="A20" s="37">
        <v>44094</v>
      </c>
      <c r="B20" s="19">
        <f t="shared" si="7"/>
        <v>242866.34</v>
      </c>
      <c r="C20" s="39">
        <v>3</v>
      </c>
      <c r="D20" s="40" t="s">
        <v>41</v>
      </c>
      <c r="E20" s="41">
        <v>0.01</v>
      </c>
      <c r="F20" s="19">
        <f t="shared" si="8"/>
        <v>2428.66</v>
      </c>
      <c r="G20" s="29">
        <f>45295+100000+100000</f>
        <v>245295</v>
      </c>
      <c r="H20" s="24"/>
      <c r="I20" s="77"/>
      <c r="J20" s="67"/>
      <c r="K20" s="76" t="s">
        <v>50</v>
      </c>
      <c r="L20" s="75" t="s">
        <v>51</v>
      </c>
      <c r="M20" s="74"/>
      <c r="N20" s="74"/>
      <c r="O20" s="75"/>
    </row>
    <row r="21" s="2" customFormat="1" ht="18" customHeight="1" spans="1:15">
      <c r="A21" s="37"/>
      <c r="B21" s="19">
        <f t="shared" si="7"/>
        <v>0</v>
      </c>
      <c r="C21" s="39"/>
      <c r="D21" s="40"/>
      <c r="E21" s="43"/>
      <c r="F21" s="19">
        <f t="shared" si="8"/>
        <v>0</v>
      </c>
      <c r="G21" s="29"/>
      <c r="H21" s="24">
        <v>44057</v>
      </c>
      <c r="I21" s="77">
        <v>19455</v>
      </c>
      <c r="J21" s="67" t="s">
        <v>20</v>
      </c>
      <c r="K21" s="76" t="s">
        <v>52</v>
      </c>
      <c r="L21" s="75" t="s">
        <v>53</v>
      </c>
      <c r="M21" s="74"/>
      <c r="N21" s="74"/>
      <c r="O21" s="75"/>
    </row>
    <row r="22" s="2" customFormat="1" ht="18" customHeight="1" spans="1:15">
      <c r="A22" s="37"/>
      <c r="B22" s="19">
        <f t="shared" si="7"/>
        <v>0</v>
      </c>
      <c r="C22" s="39"/>
      <c r="D22" s="40"/>
      <c r="E22" s="43"/>
      <c r="F22" s="19">
        <f t="shared" si="8"/>
        <v>0</v>
      </c>
      <c r="G22" s="29"/>
      <c r="H22" s="42">
        <v>44077</v>
      </c>
      <c r="I22" s="70">
        <v>200000</v>
      </c>
      <c r="J22" s="71" t="s">
        <v>20</v>
      </c>
      <c r="K22" s="76" t="s">
        <v>54</v>
      </c>
      <c r="L22" s="75" t="s">
        <v>55</v>
      </c>
      <c r="M22" s="74"/>
      <c r="N22" s="74"/>
      <c r="O22" s="75"/>
    </row>
    <row r="23" s="2" customFormat="1" ht="18" customHeight="1" spans="1:22">
      <c r="A23" s="37">
        <v>44040</v>
      </c>
      <c r="B23" s="19">
        <f t="shared" si="7"/>
        <v>1200</v>
      </c>
      <c r="C23" s="39"/>
      <c r="D23" s="40" t="s">
        <v>56</v>
      </c>
      <c r="E23" s="43"/>
      <c r="F23" s="19">
        <f t="shared" si="8"/>
        <v>0</v>
      </c>
      <c r="G23" s="29">
        <v>1200</v>
      </c>
      <c r="H23" s="24">
        <v>44013</v>
      </c>
      <c r="I23" s="77">
        <v>1200</v>
      </c>
      <c r="J23" s="67" t="s">
        <v>20</v>
      </c>
      <c r="K23" s="76" t="s">
        <v>57</v>
      </c>
      <c r="L23" s="75" t="s">
        <v>58</v>
      </c>
      <c r="M23" s="74"/>
      <c r="N23" s="74"/>
      <c r="O23" s="75" t="s">
        <v>59</v>
      </c>
      <c r="P23" s="2" t="s">
        <v>60</v>
      </c>
      <c r="R23" s="2" t="s">
        <v>61</v>
      </c>
      <c r="V23" s="67" t="s">
        <v>62</v>
      </c>
    </row>
    <row r="24" s="2" customFormat="1" ht="18" customHeight="1" spans="1:22">
      <c r="A24" s="37"/>
      <c r="B24" s="19">
        <f t="shared" si="7"/>
        <v>0</v>
      </c>
      <c r="C24" s="39"/>
      <c r="D24" s="40"/>
      <c r="E24" s="43"/>
      <c r="F24" s="19">
        <f t="shared" si="8"/>
        <v>0</v>
      </c>
      <c r="G24" s="29"/>
      <c r="H24" s="24">
        <v>44081</v>
      </c>
      <c r="I24" s="81">
        <v>-1000000</v>
      </c>
      <c r="J24" s="82" t="s">
        <v>20</v>
      </c>
      <c r="K24" s="83" t="s">
        <v>63</v>
      </c>
      <c r="L24" s="84" t="s">
        <v>64</v>
      </c>
      <c r="M24" s="82"/>
      <c r="N24" s="82"/>
      <c r="O24" s="84" t="s">
        <v>65</v>
      </c>
      <c r="V24" s="106"/>
    </row>
    <row r="25" s="2" customFormat="1" ht="18" customHeight="1" spans="1:15">
      <c r="A25" s="37">
        <v>44094</v>
      </c>
      <c r="B25" s="19">
        <f t="shared" si="7"/>
        <v>145116.81</v>
      </c>
      <c r="C25" s="39">
        <v>1</v>
      </c>
      <c r="D25" s="40" t="s">
        <v>41</v>
      </c>
      <c r="E25" s="41">
        <v>0.13</v>
      </c>
      <c r="F25" s="19">
        <f t="shared" si="8"/>
        <v>18865.19</v>
      </c>
      <c r="G25" s="29">
        <v>163982</v>
      </c>
      <c r="H25" s="42">
        <v>44082</v>
      </c>
      <c r="I25" s="70">
        <v>169600</v>
      </c>
      <c r="J25" s="74" t="s">
        <v>20</v>
      </c>
      <c r="K25" s="76" t="s">
        <v>39</v>
      </c>
      <c r="L25" s="75" t="s">
        <v>40</v>
      </c>
      <c r="M25" s="74"/>
      <c r="N25" s="74"/>
      <c r="O25" s="75"/>
    </row>
    <row r="26" s="2" customFormat="1" ht="18" customHeight="1" spans="1:15">
      <c r="A26" s="44">
        <v>44147</v>
      </c>
      <c r="B26" s="45">
        <f t="shared" si="7"/>
        <v>59856.44</v>
      </c>
      <c r="C26" s="46">
        <v>1</v>
      </c>
      <c r="D26" s="47" t="s">
        <v>41</v>
      </c>
      <c r="E26" s="48">
        <v>0.01</v>
      </c>
      <c r="F26" s="45">
        <f t="shared" si="8"/>
        <v>598.56</v>
      </c>
      <c r="G26" s="49">
        <v>60455</v>
      </c>
      <c r="H26" s="42">
        <v>44092</v>
      </c>
      <c r="I26" s="70">
        <v>60000</v>
      </c>
      <c r="J26" s="74" t="s">
        <v>20</v>
      </c>
      <c r="K26" s="76" t="s">
        <v>66</v>
      </c>
      <c r="L26" s="75" t="s">
        <v>67</v>
      </c>
      <c r="M26" s="80" t="s">
        <v>68</v>
      </c>
      <c r="N26" s="74"/>
      <c r="O26" s="85" t="s">
        <v>69</v>
      </c>
    </row>
    <row r="27" s="2" customFormat="1" ht="18" customHeight="1" spans="1:15">
      <c r="A27" s="44">
        <v>44147</v>
      </c>
      <c r="B27" s="45">
        <f t="shared" si="7"/>
        <v>146336.28</v>
      </c>
      <c r="C27" s="46">
        <v>1</v>
      </c>
      <c r="D27" s="47" t="s">
        <v>41</v>
      </c>
      <c r="E27" s="48">
        <v>0.13</v>
      </c>
      <c r="F27" s="45">
        <f t="shared" si="8"/>
        <v>19023.72</v>
      </c>
      <c r="G27" s="49">
        <v>165360</v>
      </c>
      <c r="H27" s="42">
        <v>44092</v>
      </c>
      <c r="I27" s="70">
        <v>300000</v>
      </c>
      <c r="J27" s="74" t="s">
        <v>20</v>
      </c>
      <c r="K27" s="76" t="s">
        <v>70</v>
      </c>
      <c r="L27" s="75" t="s">
        <v>71</v>
      </c>
      <c r="M27" s="80" t="s">
        <v>47</v>
      </c>
      <c r="N27" s="74"/>
      <c r="O27" s="85" t="s">
        <v>69</v>
      </c>
    </row>
    <row r="28" s="2" customFormat="1" ht="18" customHeight="1" spans="1:15">
      <c r="A28" s="44"/>
      <c r="B28" s="45">
        <f t="shared" si="7"/>
        <v>0</v>
      </c>
      <c r="C28" s="46"/>
      <c r="D28" s="47"/>
      <c r="E28" s="48"/>
      <c r="F28" s="45">
        <f t="shared" si="8"/>
        <v>0</v>
      </c>
      <c r="G28" s="49"/>
      <c r="H28" s="42">
        <v>44092</v>
      </c>
      <c r="I28" s="70">
        <v>300000</v>
      </c>
      <c r="J28" s="74" t="s">
        <v>20</v>
      </c>
      <c r="K28" s="76" t="s">
        <v>72</v>
      </c>
      <c r="L28" s="86" t="s">
        <v>73</v>
      </c>
      <c r="M28" s="74" t="s">
        <v>74</v>
      </c>
      <c r="N28" s="74"/>
      <c r="O28" s="85"/>
    </row>
    <row r="29" s="2" customFormat="1" ht="18" customHeight="1" spans="1:15">
      <c r="A29" s="44">
        <v>44147</v>
      </c>
      <c r="B29" s="45">
        <f t="shared" si="7"/>
        <v>33185.84</v>
      </c>
      <c r="C29" s="46">
        <v>1</v>
      </c>
      <c r="D29" s="47" t="s">
        <v>41</v>
      </c>
      <c r="E29" s="48">
        <v>0.13</v>
      </c>
      <c r="F29" s="45">
        <f t="shared" si="8"/>
        <v>4314.16</v>
      </c>
      <c r="G29" s="49">
        <v>37500</v>
      </c>
      <c r="H29" s="50">
        <v>44114</v>
      </c>
      <c r="I29" s="87">
        <v>37500</v>
      </c>
      <c r="J29" s="88" t="s">
        <v>20</v>
      </c>
      <c r="K29" s="89" t="s">
        <v>75</v>
      </c>
      <c r="L29" s="86" t="s">
        <v>76</v>
      </c>
      <c r="M29" s="80" t="s">
        <v>77</v>
      </c>
      <c r="N29" s="74"/>
      <c r="O29" s="85" t="s">
        <v>69</v>
      </c>
    </row>
    <row r="30" s="2" customFormat="1" ht="18" customHeight="1" spans="1:15">
      <c r="A30" s="37">
        <v>44155</v>
      </c>
      <c r="B30" s="19">
        <f t="shared" si="7"/>
        <v>145688.5</v>
      </c>
      <c r="C30" s="39">
        <v>1</v>
      </c>
      <c r="D30" s="40" t="s">
        <v>41</v>
      </c>
      <c r="E30" s="41">
        <v>0.13</v>
      </c>
      <c r="F30" s="19">
        <f t="shared" si="8"/>
        <v>18939.5</v>
      </c>
      <c r="G30" s="51">
        <f>164628</f>
        <v>164628</v>
      </c>
      <c r="H30" s="50"/>
      <c r="I30" s="87"/>
      <c r="J30" s="88"/>
      <c r="K30" s="76" t="s">
        <v>70</v>
      </c>
      <c r="L30" s="75" t="s">
        <v>71</v>
      </c>
      <c r="M30" s="80" t="s">
        <v>47</v>
      </c>
      <c r="N30" s="74"/>
      <c r="O30" s="85"/>
    </row>
    <row r="31" s="2" customFormat="1" ht="18" customHeight="1" spans="1:15">
      <c r="A31" s="37">
        <v>44155</v>
      </c>
      <c r="B31" s="19">
        <f t="shared" si="7"/>
        <v>131139.82</v>
      </c>
      <c r="C31" s="39">
        <v>1</v>
      </c>
      <c r="D31" s="40" t="s">
        <v>41</v>
      </c>
      <c r="E31" s="41">
        <v>0.13</v>
      </c>
      <c r="F31" s="38">
        <f t="shared" si="8"/>
        <v>17048.18</v>
      </c>
      <c r="G31" s="51">
        <v>148188</v>
      </c>
      <c r="H31" s="50"/>
      <c r="I31" s="87"/>
      <c r="J31" s="88"/>
      <c r="K31" s="76" t="s">
        <v>70</v>
      </c>
      <c r="L31" s="75" t="s">
        <v>71</v>
      </c>
      <c r="M31" s="80" t="s">
        <v>47</v>
      </c>
      <c r="N31" s="74"/>
      <c r="O31" s="85"/>
    </row>
    <row r="32" s="2" customFormat="1" ht="18" customHeight="1" spans="1:15">
      <c r="A32" s="37">
        <v>44155</v>
      </c>
      <c r="B32" s="19">
        <f t="shared" si="7"/>
        <v>1496330.28</v>
      </c>
      <c r="C32" s="39">
        <v>16</v>
      </c>
      <c r="D32" s="40" t="s">
        <v>41</v>
      </c>
      <c r="E32" s="41">
        <v>0.09</v>
      </c>
      <c r="F32" s="38">
        <f t="shared" si="8"/>
        <v>134669.72</v>
      </c>
      <c r="G32" s="51">
        <f>107000*15+26000</f>
        <v>1631000</v>
      </c>
      <c r="H32" s="50"/>
      <c r="I32" s="87"/>
      <c r="J32" s="88"/>
      <c r="K32" s="72" t="s">
        <v>37</v>
      </c>
      <c r="L32" s="72" t="s">
        <v>38</v>
      </c>
      <c r="M32" s="80" t="s">
        <v>78</v>
      </c>
      <c r="N32" s="74"/>
      <c r="O32" s="85"/>
    </row>
    <row r="33" s="2" customFormat="1" ht="18" customHeight="1" spans="1:15">
      <c r="A33" s="44">
        <v>44166</v>
      </c>
      <c r="B33" s="45">
        <f t="shared" si="7"/>
        <v>242552.21</v>
      </c>
      <c r="C33" s="46">
        <v>1</v>
      </c>
      <c r="D33" s="47" t="s">
        <v>41</v>
      </c>
      <c r="E33" s="48">
        <v>0.13</v>
      </c>
      <c r="F33" s="52">
        <f t="shared" si="8"/>
        <v>31531.79</v>
      </c>
      <c r="G33" s="53">
        <f>274084</f>
        <v>274084</v>
      </c>
      <c r="H33" s="50"/>
      <c r="I33" s="87"/>
      <c r="J33" s="88"/>
      <c r="K33" s="72" t="s">
        <v>79</v>
      </c>
      <c r="L33" s="72" t="s">
        <v>80</v>
      </c>
      <c r="M33" s="90" t="s">
        <v>81</v>
      </c>
      <c r="N33" s="74"/>
      <c r="O33" s="85"/>
    </row>
    <row r="34" s="2" customFormat="1" ht="18" customHeight="1" spans="1:15">
      <c r="A34" s="44">
        <v>44166</v>
      </c>
      <c r="B34" s="45">
        <f t="shared" si="7"/>
        <v>3252427.18</v>
      </c>
      <c r="C34" s="46">
        <v>4</v>
      </c>
      <c r="D34" s="47" t="s">
        <v>41</v>
      </c>
      <c r="E34" s="48">
        <v>0.03</v>
      </c>
      <c r="F34" s="52">
        <f t="shared" si="8"/>
        <v>97572.82</v>
      </c>
      <c r="G34" s="53">
        <f>990000*3+380000</f>
        <v>3350000</v>
      </c>
      <c r="H34" s="50"/>
      <c r="I34" s="87"/>
      <c r="J34" s="88"/>
      <c r="K34" s="72" t="s">
        <v>79</v>
      </c>
      <c r="L34" s="72" t="s">
        <v>82</v>
      </c>
      <c r="M34" s="90" t="s">
        <v>83</v>
      </c>
      <c r="N34" s="74"/>
      <c r="O34" s="85" t="s">
        <v>84</v>
      </c>
    </row>
    <row r="35" s="2" customFormat="1" ht="18" customHeight="1" spans="1:15">
      <c r="A35" s="37">
        <v>44166</v>
      </c>
      <c r="B35" s="19">
        <f t="shared" si="7"/>
        <v>108530.97</v>
      </c>
      <c r="C35" s="39">
        <v>2</v>
      </c>
      <c r="D35" s="40" t="s">
        <v>41</v>
      </c>
      <c r="E35" s="41">
        <v>0.13</v>
      </c>
      <c r="F35" s="38">
        <f t="shared" si="8"/>
        <v>14109.03</v>
      </c>
      <c r="G35" s="51">
        <f>100000+22640</f>
        <v>122640</v>
      </c>
      <c r="H35" s="50"/>
      <c r="I35" s="87"/>
      <c r="J35" s="88"/>
      <c r="K35" s="72" t="s">
        <v>85</v>
      </c>
      <c r="L35" s="72" t="s">
        <v>80</v>
      </c>
      <c r="M35" s="80" t="s">
        <v>86</v>
      </c>
      <c r="N35" s="74"/>
      <c r="O35" s="85"/>
    </row>
    <row r="36" s="2" customFormat="1" ht="18" customHeight="1" spans="1:15">
      <c r="A36" s="44">
        <v>44166</v>
      </c>
      <c r="B36" s="45">
        <f t="shared" si="7"/>
        <v>59405.94</v>
      </c>
      <c r="C36" s="46">
        <v>6</v>
      </c>
      <c r="D36" s="47" t="s">
        <v>41</v>
      </c>
      <c r="E36" s="48">
        <v>0.01</v>
      </c>
      <c r="F36" s="52">
        <f t="shared" si="8"/>
        <v>594.06</v>
      </c>
      <c r="G36" s="53">
        <v>60000</v>
      </c>
      <c r="H36" s="50"/>
      <c r="I36" s="87"/>
      <c r="J36" s="88"/>
      <c r="K36" s="72" t="s">
        <v>87</v>
      </c>
      <c r="L36" s="72" t="s">
        <v>88</v>
      </c>
      <c r="M36" s="80" t="s">
        <v>89</v>
      </c>
      <c r="N36" s="74"/>
      <c r="O36" s="85" t="s">
        <v>90</v>
      </c>
    </row>
    <row r="37" s="2" customFormat="1" ht="18" customHeight="1" spans="1:15">
      <c r="A37" s="37">
        <v>44166</v>
      </c>
      <c r="B37" s="19">
        <f t="shared" si="7"/>
        <v>1788990.83</v>
      </c>
      <c r="C37" s="39">
        <v>18</v>
      </c>
      <c r="D37" s="40" t="s">
        <v>41</v>
      </c>
      <c r="E37" s="41">
        <v>0.09</v>
      </c>
      <c r="F37" s="38">
        <f t="shared" si="8"/>
        <v>161009.17</v>
      </c>
      <c r="G37" s="51">
        <f>17*108900+98700</f>
        <v>1950000</v>
      </c>
      <c r="H37" s="50"/>
      <c r="I37" s="87"/>
      <c r="J37" s="88"/>
      <c r="K37" s="72" t="s">
        <v>91</v>
      </c>
      <c r="L37" s="72" t="s">
        <v>92</v>
      </c>
      <c r="M37" s="80" t="s">
        <v>93</v>
      </c>
      <c r="N37" s="74"/>
      <c r="O37" s="85"/>
    </row>
    <row r="38" s="2" customFormat="1" ht="18" customHeight="1" spans="1:15">
      <c r="A38" s="37">
        <v>44166</v>
      </c>
      <c r="B38" s="19">
        <f t="shared" si="7"/>
        <v>917431.19</v>
      </c>
      <c r="C38" s="39">
        <v>10</v>
      </c>
      <c r="D38" s="40" t="s">
        <v>41</v>
      </c>
      <c r="E38" s="41">
        <v>0.09</v>
      </c>
      <c r="F38" s="38">
        <f t="shared" si="8"/>
        <v>82568.81</v>
      </c>
      <c r="G38" s="51">
        <f>107500*9+32500</f>
        <v>1000000</v>
      </c>
      <c r="H38" s="50"/>
      <c r="I38" s="87"/>
      <c r="J38" s="88"/>
      <c r="K38" s="72" t="s">
        <v>91</v>
      </c>
      <c r="L38" s="72" t="s">
        <v>92</v>
      </c>
      <c r="M38" s="80" t="s">
        <v>93</v>
      </c>
      <c r="N38" s="74"/>
      <c r="O38" s="85"/>
    </row>
    <row r="39" s="2" customFormat="1" ht="22" customHeight="1" spans="1:15">
      <c r="A39" s="37"/>
      <c r="B39" s="19">
        <f t="shared" si="7"/>
        <v>0</v>
      </c>
      <c r="C39" s="39"/>
      <c r="D39" s="40"/>
      <c r="E39" s="41"/>
      <c r="F39" s="38">
        <f t="shared" si="8"/>
        <v>0</v>
      </c>
      <c r="G39" s="51"/>
      <c r="H39" s="42">
        <v>44127</v>
      </c>
      <c r="I39" s="70">
        <v>150000</v>
      </c>
      <c r="J39" s="74" t="s">
        <v>20</v>
      </c>
      <c r="K39" s="76" t="s">
        <v>70</v>
      </c>
      <c r="L39" s="75" t="s">
        <v>71</v>
      </c>
      <c r="M39" s="80" t="s">
        <v>47</v>
      </c>
      <c r="N39" s="74"/>
      <c r="O39" s="75"/>
    </row>
    <row r="40" s="2" customFormat="1" ht="18" customHeight="1" spans="1:15">
      <c r="A40" s="37"/>
      <c r="B40" s="19">
        <f t="shared" si="7"/>
        <v>0</v>
      </c>
      <c r="C40" s="39"/>
      <c r="D40" s="40"/>
      <c r="E40" s="41"/>
      <c r="F40" s="38">
        <f t="shared" si="8"/>
        <v>0</v>
      </c>
      <c r="G40" s="51"/>
      <c r="H40" s="54">
        <v>44146</v>
      </c>
      <c r="I40" s="81">
        <v>-300000</v>
      </c>
      <c r="J40" s="82" t="s">
        <v>20</v>
      </c>
      <c r="K40" s="91" t="s">
        <v>63</v>
      </c>
      <c r="L40" s="84" t="s">
        <v>94</v>
      </c>
      <c r="M40" s="82"/>
      <c r="N40" s="82"/>
      <c r="O40" s="92" t="s">
        <v>95</v>
      </c>
    </row>
    <row r="41" s="2" customFormat="1" ht="18" customHeight="1" spans="1:15">
      <c r="A41" s="37"/>
      <c r="B41" s="19">
        <f t="shared" ref="B41:B53" si="9">ROUND(G41/(1+E41),2)</f>
        <v>0</v>
      </c>
      <c r="C41" s="39"/>
      <c r="D41" s="40"/>
      <c r="E41" s="41"/>
      <c r="F41" s="38">
        <f t="shared" ref="F41:F55" si="10">ROUND(G41/(1+E41)*E41,2)</f>
        <v>0</v>
      </c>
      <c r="G41" s="51"/>
      <c r="H41" s="55">
        <v>44146</v>
      </c>
      <c r="I41" s="93">
        <v>50000</v>
      </c>
      <c r="J41" s="88" t="s">
        <v>20</v>
      </c>
      <c r="K41" s="94" t="s">
        <v>96</v>
      </c>
      <c r="L41" s="95" t="s">
        <v>97</v>
      </c>
      <c r="M41" s="73"/>
      <c r="N41" s="74"/>
      <c r="O41" s="75"/>
    </row>
    <row r="42" s="2" customFormat="1" ht="18" customHeight="1" spans="1:15">
      <c r="A42" s="37"/>
      <c r="B42" s="19">
        <f t="shared" si="9"/>
        <v>0</v>
      </c>
      <c r="C42" s="39"/>
      <c r="D42" s="40"/>
      <c r="E42" s="41"/>
      <c r="F42" s="38">
        <f t="shared" si="10"/>
        <v>0</v>
      </c>
      <c r="G42" s="51"/>
      <c r="H42" s="56">
        <v>44146</v>
      </c>
      <c r="I42" s="96">
        <v>27328</v>
      </c>
      <c r="J42" s="74" t="s">
        <v>20</v>
      </c>
      <c r="K42" s="76" t="s">
        <v>39</v>
      </c>
      <c r="L42" s="75" t="s">
        <v>71</v>
      </c>
      <c r="M42" s="73"/>
      <c r="N42" s="74"/>
      <c r="O42" s="75"/>
    </row>
    <row r="43" s="2" customFormat="1" ht="18" customHeight="1" spans="1:15">
      <c r="A43" s="44">
        <v>44197</v>
      </c>
      <c r="B43" s="45">
        <f t="shared" si="9"/>
        <v>185628.32</v>
      </c>
      <c r="C43" s="46">
        <v>2</v>
      </c>
      <c r="D43" s="47" t="s">
        <v>41</v>
      </c>
      <c r="E43" s="48">
        <v>0.13</v>
      </c>
      <c r="F43" s="52">
        <f t="shared" si="10"/>
        <v>24131.68</v>
      </c>
      <c r="G43" s="53">
        <v>209760</v>
      </c>
      <c r="H43" s="56">
        <v>44153</v>
      </c>
      <c r="I43" s="96">
        <v>135610</v>
      </c>
      <c r="J43" s="74" t="s">
        <v>20</v>
      </c>
      <c r="K43" s="76" t="s">
        <v>96</v>
      </c>
      <c r="L43" s="75" t="s">
        <v>97</v>
      </c>
      <c r="M43" s="80" t="s">
        <v>98</v>
      </c>
      <c r="N43" s="74"/>
      <c r="O43" s="85" t="s">
        <v>149</v>
      </c>
    </row>
    <row r="44" s="2" customFormat="1" ht="18" customHeight="1" spans="1:15">
      <c r="A44" s="37"/>
      <c r="B44" s="19">
        <f t="shared" si="9"/>
        <v>0</v>
      </c>
      <c r="C44" s="39"/>
      <c r="D44" s="40"/>
      <c r="E44" s="41"/>
      <c r="F44" s="38">
        <f t="shared" si="10"/>
        <v>0</v>
      </c>
      <c r="G44" s="51"/>
      <c r="H44" s="56">
        <v>44160</v>
      </c>
      <c r="I44" s="81">
        <v>-214188</v>
      </c>
      <c r="J44" s="82" t="s">
        <v>20</v>
      </c>
      <c r="K44" s="91" t="s">
        <v>63</v>
      </c>
      <c r="L44" s="84" t="s">
        <v>94</v>
      </c>
      <c r="M44" s="82"/>
      <c r="N44" s="82"/>
      <c r="O44" s="84"/>
    </row>
    <row r="45" s="2" customFormat="1" ht="18" customHeight="1" spans="1:15">
      <c r="A45" s="37"/>
      <c r="B45" s="19">
        <f t="shared" si="9"/>
        <v>0</v>
      </c>
      <c r="C45" s="39"/>
      <c r="D45" s="40"/>
      <c r="E45" s="41"/>
      <c r="F45" s="38">
        <f t="shared" si="10"/>
        <v>0</v>
      </c>
      <c r="G45" s="51"/>
      <c r="H45" s="56">
        <v>44160</v>
      </c>
      <c r="I45" s="96">
        <v>200000</v>
      </c>
      <c r="J45" s="74" t="s">
        <v>20</v>
      </c>
      <c r="K45" s="76" t="s">
        <v>100</v>
      </c>
      <c r="L45" s="75" t="s">
        <v>101</v>
      </c>
      <c r="M45" s="73"/>
      <c r="N45" s="74"/>
      <c r="O45" s="75"/>
    </row>
    <row r="46" s="2" customFormat="1" ht="18" customHeight="1" spans="1:15">
      <c r="A46" s="37"/>
      <c r="B46" s="19">
        <f t="shared" si="9"/>
        <v>0</v>
      </c>
      <c r="C46" s="39"/>
      <c r="D46" s="40"/>
      <c r="E46" s="41"/>
      <c r="F46" s="38">
        <f t="shared" si="10"/>
        <v>0</v>
      </c>
      <c r="G46" s="51"/>
      <c r="H46" s="56">
        <v>44161</v>
      </c>
      <c r="I46" s="96">
        <v>60000</v>
      </c>
      <c r="J46" s="74" t="s">
        <v>20</v>
      </c>
      <c r="K46" s="76" t="s">
        <v>100</v>
      </c>
      <c r="L46" s="75" t="s">
        <v>101</v>
      </c>
      <c r="M46" s="73"/>
      <c r="N46" s="74"/>
      <c r="O46" s="75"/>
    </row>
    <row r="47" s="2" customFormat="1" ht="18" customHeight="1" spans="1:15">
      <c r="A47" s="37"/>
      <c r="B47" s="19">
        <f t="shared" si="9"/>
        <v>0</v>
      </c>
      <c r="C47" s="39"/>
      <c r="D47" s="40"/>
      <c r="E47" s="41"/>
      <c r="F47" s="38">
        <f t="shared" si="10"/>
        <v>0</v>
      </c>
      <c r="G47" s="51"/>
      <c r="H47" s="56">
        <v>44165</v>
      </c>
      <c r="I47" s="96">
        <v>24150</v>
      </c>
      <c r="J47" s="74" t="s">
        <v>20</v>
      </c>
      <c r="K47" s="76" t="s">
        <v>96</v>
      </c>
      <c r="L47" s="97" t="s">
        <v>102</v>
      </c>
      <c r="M47" s="80" t="s">
        <v>98</v>
      </c>
      <c r="N47" s="74"/>
      <c r="O47" s="75"/>
    </row>
    <row r="48" s="2" customFormat="1" ht="18" customHeight="1" spans="1:15">
      <c r="A48" s="37"/>
      <c r="B48" s="19">
        <f t="shared" si="9"/>
        <v>0</v>
      </c>
      <c r="C48" s="39"/>
      <c r="D48" s="40"/>
      <c r="E48" s="41"/>
      <c r="F48" s="38">
        <f t="shared" si="10"/>
        <v>0</v>
      </c>
      <c r="G48" s="51"/>
      <c r="H48" s="56">
        <v>44204</v>
      </c>
      <c r="I48" s="98">
        <v>80000</v>
      </c>
      <c r="J48" s="74" t="s">
        <v>20</v>
      </c>
      <c r="K48" s="99" t="s">
        <v>85</v>
      </c>
      <c r="L48" s="99" t="s">
        <v>103</v>
      </c>
      <c r="M48" s="100"/>
      <c r="N48" s="74"/>
      <c r="O48" s="75"/>
    </row>
    <row r="49" s="2" customFormat="1" ht="18" customHeight="1" spans="1:15">
      <c r="A49" s="37"/>
      <c r="B49" s="19">
        <f t="shared" si="9"/>
        <v>0</v>
      </c>
      <c r="C49" s="39"/>
      <c r="D49" s="40"/>
      <c r="E49" s="41"/>
      <c r="F49" s="38">
        <f t="shared" si="10"/>
        <v>0</v>
      </c>
      <c r="G49" s="51"/>
      <c r="H49" s="56">
        <v>44204</v>
      </c>
      <c r="I49" s="98">
        <f>2450000*0.5</f>
        <v>1225000</v>
      </c>
      <c r="J49" s="74" t="s">
        <v>20</v>
      </c>
      <c r="K49" s="99" t="s">
        <v>91</v>
      </c>
      <c r="L49" s="99" t="s">
        <v>104</v>
      </c>
      <c r="M49" s="100"/>
      <c r="N49" s="74"/>
      <c r="O49" s="75"/>
    </row>
    <row r="50" s="2" customFormat="1" ht="18" customHeight="1" spans="1:16">
      <c r="A50" s="37"/>
      <c r="B50" s="19">
        <f t="shared" si="9"/>
        <v>0</v>
      </c>
      <c r="C50" s="39"/>
      <c r="D50" s="40"/>
      <c r="E50" s="41"/>
      <c r="F50" s="38">
        <f t="shared" si="10"/>
        <v>0</v>
      </c>
      <c r="G50" s="51"/>
      <c r="H50" s="56">
        <v>44207</v>
      </c>
      <c r="I50" s="98">
        <f>2450000*0.5</f>
        <v>1225000</v>
      </c>
      <c r="J50" s="74" t="s">
        <v>20</v>
      </c>
      <c r="K50" s="99" t="s">
        <v>91</v>
      </c>
      <c r="L50" s="99" t="s">
        <v>104</v>
      </c>
      <c r="M50" s="100"/>
      <c r="N50" s="74"/>
      <c r="O50" s="75"/>
      <c r="P50" s="2">
        <f>I40+I44+I24</f>
        <v>-1514188</v>
      </c>
    </row>
    <row r="51" s="2" customFormat="1" ht="18" customHeight="1" spans="1:15">
      <c r="A51" s="37"/>
      <c r="B51" s="19">
        <f t="shared" si="9"/>
        <v>0</v>
      </c>
      <c r="C51" s="39"/>
      <c r="D51" s="40"/>
      <c r="E51" s="41"/>
      <c r="F51" s="38">
        <f t="shared" si="10"/>
        <v>0</v>
      </c>
      <c r="G51" s="51"/>
      <c r="H51" s="56">
        <v>44221</v>
      </c>
      <c r="I51" s="98">
        <v>1069841.77</v>
      </c>
      <c r="J51" s="74" t="s">
        <v>20</v>
      </c>
      <c r="K51" s="99" t="s">
        <v>79</v>
      </c>
      <c r="L51" s="99" t="s">
        <v>82</v>
      </c>
      <c r="M51" s="100"/>
      <c r="N51" s="74"/>
      <c r="O51" s="75"/>
    </row>
    <row r="52" s="2" customFormat="1" ht="18" customHeight="1" spans="1:15">
      <c r="A52" s="37"/>
      <c r="B52" s="19">
        <f t="shared" si="9"/>
        <v>0</v>
      </c>
      <c r="C52" s="39"/>
      <c r="D52" s="40"/>
      <c r="E52" s="41"/>
      <c r="F52" s="38">
        <f t="shared" si="10"/>
        <v>0</v>
      </c>
      <c r="G52" s="51"/>
      <c r="H52" s="56">
        <v>44236</v>
      </c>
      <c r="I52" s="98">
        <v>500000</v>
      </c>
      <c r="J52" s="74" t="s">
        <v>20</v>
      </c>
      <c r="K52" s="99" t="s">
        <v>105</v>
      </c>
      <c r="L52" s="99" t="s">
        <v>106</v>
      </c>
      <c r="M52" s="100"/>
      <c r="N52" s="74"/>
      <c r="O52" s="75"/>
    </row>
    <row r="53" s="2" customFormat="1" ht="18" customHeight="1" spans="1:15">
      <c r="A53" s="37"/>
      <c r="B53" s="19">
        <f t="shared" si="9"/>
        <v>0</v>
      </c>
      <c r="C53" s="39"/>
      <c r="D53" s="40"/>
      <c r="E53" s="41"/>
      <c r="F53" s="38">
        <f t="shared" si="10"/>
        <v>0</v>
      </c>
      <c r="G53" s="51"/>
      <c r="H53" s="56">
        <v>44236</v>
      </c>
      <c r="I53" s="98">
        <v>500000</v>
      </c>
      <c r="J53" s="74" t="s">
        <v>20</v>
      </c>
      <c r="K53" s="99" t="s">
        <v>37</v>
      </c>
      <c r="L53" s="99" t="s">
        <v>107</v>
      </c>
      <c r="M53" s="73" t="s">
        <v>108</v>
      </c>
      <c r="N53" s="74"/>
      <c r="O53" s="75"/>
    </row>
    <row r="54" s="2" customFormat="1" ht="18" customHeight="1" spans="1:15">
      <c r="A54" s="37"/>
      <c r="B54" s="19">
        <f t="shared" ref="B54:B57" si="11">ROUND(G54/(1+E54),2)</f>
        <v>20000</v>
      </c>
      <c r="C54" s="39"/>
      <c r="D54" s="40"/>
      <c r="E54" s="41"/>
      <c r="F54" s="38">
        <f t="shared" si="10"/>
        <v>0</v>
      </c>
      <c r="G54" s="51">
        <v>20000</v>
      </c>
      <c r="H54" s="56" t="s">
        <v>124</v>
      </c>
      <c r="I54" s="98">
        <v>20000</v>
      </c>
      <c r="J54" s="74" t="s">
        <v>118</v>
      </c>
      <c r="K54" s="76" t="s">
        <v>125</v>
      </c>
      <c r="L54" s="99"/>
      <c r="M54" s="100"/>
      <c r="N54" s="74"/>
      <c r="O54" s="75"/>
    </row>
    <row r="55" s="2" customFormat="1" ht="18" customHeight="1" spans="1:15">
      <c r="A55" s="37"/>
      <c r="B55" s="19">
        <f t="shared" si="11"/>
        <v>0</v>
      </c>
      <c r="C55" s="39"/>
      <c r="D55" s="40"/>
      <c r="E55" s="41"/>
      <c r="F55" s="38">
        <f t="shared" si="10"/>
        <v>0</v>
      </c>
      <c r="G55" s="51"/>
      <c r="H55" s="56" t="s">
        <v>124</v>
      </c>
      <c r="I55" s="98">
        <v>200</v>
      </c>
      <c r="J55" s="67" t="s">
        <v>118</v>
      </c>
      <c r="K55" s="76" t="s">
        <v>120</v>
      </c>
      <c r="L55" s="99"/>
      <c r="M55" s="100"/>
      <c r="N55" s="74"/>
      <c r="O55" s="75"/>
    </row>
    <row r="56" s="2" customFormat="1" ht="18" customHeight="1" spans="1:15">
      <c r="A56" s="37"/>
      <c r="B56" s="19">
        <f t="shared" si="11"/>
        <v>0</v>
      </c>
      <c r="C56" s="39"/>
      <c r="D56" s="40"/>
      <c r="E56" s="41"/>
      <c r="F56" s="38">
        <f t="shared" ref="F54:F58" si="12">ROUND(G56/(1+E56)*E56,2)</f>
        <v>0</v>
      </c>
      <c r="G56" s="51"/>
      <c r="H56" s="56" t="s">
        <v>124</v>
      </c>
      <c r="I56" s="96">
        <v>100</v>
      </c>
      <c r="J56" s="67" t="s">
        <v>118</v>
      </c>
      <c r="K56" s="76" t="s">
        <v>120</v>
      </c>
      <c r="L56" s="99"/>
      <c r="M56" s="100"/>
      <c r="N56" s="74"/>
      <c r="O56" s="75"/>
    </row>
    <row r="57" s="2" customFormat="1" ht="18" customHeight="1" spans="1:15">
      <c r="A57" s="37"/>
      <c r="B57" s="19">
        <f t="shared" si="11"/>
        <v>0</v>
      </c>
      <c r="C57" s="39"/>
      <c r="D57" s="40"/>
      <c r="E57" s="41"/>
      <c r="F57" s="38">
        <f t="shared" si="12"/>
        <v>0</v>
      </c>
      <c r="G57" s="51"/>
      <c r="H57" s="56" t="s">
        <v>124</v>
      </c>
      <c r="I57" s="96">
        <v>200</v>
      </c>
      <c r="J57" s="67" t="s">
        <v>118</v>
      </c>
      <c r="K57" s="76" t="s">
        <v>120</v>
      </c>
      <c r="L57" s="99"/>
      <c r="M57" s="100"/>
      <c r="N57" s="74"/>
      <c r="O57" s="75"/>
    </row>
    <row r="58" s="2" customFormat="1" ht="18" customHeight="1" spans="1:15">
      <c r="A58" s="37"/>
      <c r="B58" s="19">
        <f t="shared" ref="B57:B62" si="13">ROUND(G58/(1+E58),2)</f>
        <v>0</v>
      </c>
      <c r="C58" s="39"/>
      <c r="D58" s="40"/>
      <c r="E58" s="41"/>
      <c r="F58" s="38">
        <f t="shared" si="12"/>
        <v>0</v>
      </c>
      <c r="G58" s="51"/>
      <c r="H58" s="56" t="s">
        <v>124</v>
      </c>
      <c r="I58" s="96">
        <v>72967.96</v>
      </c>
      <c r="J58" s="74" t="s">
        <v>118</v>
      </c>
      <c r="K58" s="76" t="s">
        <v>126</v>
      </c>
      <c r="L58" s="101"/>
      <c r="M58" s="100"/>
      <c r="N58" s="74"/>
      <c r="O58" s="75"/>
    </row>
    <row r="59" s="2" customFormat="1" ht="18" customHeight="1" spans="1:15">
      <c r="A59" s="37"/>
      <c r="B59" s="19">
        <f t="shared" si="13"/>
        <v>120000</v>
      </c>
      <c r="C59" s="39"/>
      <c r="D59" s="40"/>
      <c r="E59" s="41"/>
      <c r="F59" s="38">
        <f t="shared" ref="F57:F62" si="14">ROUND(G59/(1+E59)*E59,2)</f>
        <v>0</v>
      </c>
      <c r="G59" s="51">
        <f>I59</f>
        <v>120000</v>
      </c>
      <c r="H59" s="56" t="s">
        <v>124</v>
      </c>
      <c r="I59" s="96">
        <v>120000</v>
      </c>
      <c r="J59" s="74" t="s">
        <v>118</v>
      </c>
      <c r="K59" s="76" t="s">
        <v>125</v>
      </c>
      <c r="L59" s="101"/>
      <c r="M59" s="100"/>
      <c r="N59" s="74"/>
      <c r="O59" s="75"/>
    </row>
    <row r="60" s="2" customFormat="1" ht="18" customHeight="1" spans="1:15">
      <c r="A60" s="37"/>
      <c r="B60" s="19">
        <f t="shared" si="13"/>
        <v>0</v>
      </c>
      <c r="C60" s="39"/>
      <c r="D60" s="40"/>
      <c r="E60" s="41"/>
      <c r="F60" s="38">
        <f t="shared" si="14"/>
        <v>0</v>
      </c>
      <c r="G60" s="51"/>
      <c r="H60" s="57" t="s">
        <v>124</v>
      </c>
      <c r="I60" s="81">
        <v>1514188</v>
      </c>
      <c r="J60" s="82" t="s">
        <v>118</v>
      </c>
      <c r="K60" s="83" t="s">
        <v>127</v>
      </c>
      <c r="L60" s="102"/>
      <c r="M60" s="103"/>
      <c r="N60" s="82"/>
      <c r="O60" s="84"/>
    </row>
    <row r="61" s="2" customFormat="1" ht="18" customHeight="1" spans="1:15">
      <c r="A61" s="37"/>
      <c r="B61" s="19">
        <f t="shared" si="13"/>
        <v>0</v>
      </c>
      <c r="C61" s="39"/>
      <c r="D61" s="40"/>
      <c r="E61" s="41"/>
      <c r="F61" s="38">
        <f t="shared" si="14"/>
        <v>0</v>
      </c>
      <c r="G61" s="51"/>
      <c r="H61" s="57" t="s">
        <v>124</v>
      </c>
      <c r="I61" s="96">
        <v>97280</v>
      </c>
      <c r="J61" s="74" t="s">
        <v>118</v>
      </c>
      <c r="K61" s="76" t="s">
        <v>128</v>
      </c>
      <c r="L61" s="104"/>
      <c r="M61" s="100"/>
      <c r="N61" s="74"/>
      <c r="O61" s="75"/>
    </row>
    <row r="62" s="2" customFormat="1" ht="18" customHeight="1" spans="1:15">
      <c r="A62" s="37"/>
      <c r="B62" s="19">
        <f t="shared" si="13"/>
        <v>0</v>
      </c>
      <c r="C62" s="39"/>
      <c r="D62" s="40"/>
      <c r="E62" s="41"/>
      <c r="F62" s="38">
        <f t="shared" si="14"/>
        <v>0</v>
      </c>
      <c r="G62" s="51"/>
      <c r="H62" s="57" t="s">
        <v>124</v>
      </c>
      <c r="I62" s="96">
        <v>1300</v>
      </c>
      <c r="J62" s="67" t="s">
        <v>118</v>
      </c>
      <c r="K62" s="76" t="s">
        <v>120</v>
      </c>
      <c r="L62" s="97"/>
      <c r="M62" s="100"/>
      <c r="N62" s="74"/>
      <c r="O62" s="75"/>
    </row>
    <row r="63" ht="18" customHeight="1" spans="1:15">
      <c r="A63" s="32" t="s">
        <v>22</v>
      </c>
      <c r="B63" s="31">
        <f t="shared" ref="B63:G63" si="15">SUM(B14:B62)</f>
        <v>9609293.51</v>
      </c>
      <c r="C63" s="32"/>
      <c r="D63" s="58"/>
      <c r="E63" s="58"/>
      <c r="F63" s="34">
        <f t="shared" si="15"/>
        <v>668306.49</v>
      </c>
      <c r="G63" s="59">
        <f t="shared" si="15"/>
        <v>10277600</v>
      </c>
      <c r="H63" s="60"/>
      <c r="I63" s="22">
        <f>SUM(I14:I62)</f>
        <v>6405732.73</v>
      </c>
      <c r="J63" s="105"/>
      <c r="K63" s="58"/>
      <c r="L63" s="35"/>
      <c r="M63" s="67"/>
      <c r="N63" s="67" t="s">
        <v>129</v>
      </c>
      <c r="O63" s="35"/>
    </row>
    <row r="64" ht="18" customHeight="1" spans="1:15">
      <c r="A64" s="61" t="s">
        <v>130</v>
      </c>
      <c r="B64" s="62">
        <f>B11*0.96</f>
        <v>8567779.81651376</v>
      </c>
      <c r="C64" s="61"/>
      <c r="D64" s="63"/>
      <c r="E64" s="63"/>
      <c r="F64" s="62"/>
      <c r="G64" s="62">
        <f>G11-G63</f>
        <v>-549600</v>
      </c>
      <c r="H64" s="23" t="s">
        <v>131</v>
      </c>
      <c r="I64" s="22">
        <f>I11-I63</f>
        <v>594267.27</v>
      </c>
      <c r="J64" s="8"/>
      <c r="M64" s="106"/>
      <c r="N64" s="106"/>
      <c r="O64" s="8" t="s">
        <v>132</v>
      </c>
    </row>
    <row r="65" ht="18" customHeight="1" spans="1:14">
      <c r="A65" s="61" t="s">
        <v>133</v>
      </c>
      <c r="B65" s="62">
        <f>B64-B63</f>
        <v>-1041513.69348624</v>
      </c>
      <c r="C65" s="61"/>
      <c r="D65" s="63"/>
      <c r="E65" s="63"/>
      <c r="F65" s="62"/>
      <c r="G65" s="62"/>
      <c r="H65" s="107"/>
      <c r="I65" s="113"/>
      <c r="J65" s="8"/>
      <c r="M65" s="106"/>
      <c r="N65" s="106"/>
    </row>
    <row r="66" ht="18" customHeight="1" spans="1:11">
      <c r="A66" s="3" t="s">
        <v>134</v>
      </c>
      <c r="C66" s="3"/>
      <c r="K66" s="114"/>
    </row>
    <row r="67" ht="18" customHeight="1" spans="1:7">
      <c r="A67" s="23" t="s">
        <v>135</v>
      </c>
      <c r="B67" s="22" t="s">
        <v>136</v>
      </c>
      <c r="C67" s="35"/>
      <c r="D67" s="23" t="s">
        <v>135</v>
      </c>
      <c r="E67" s="21" t="s">
        <v>15</v>
      </c>
      <c r="F67" s="22" t="s">
        <v>136</v>
      </c>
      <c r="G67" s="22" t="s">
        <v>137</v>
      </c>
    </row>
    <row r="68" ht="18" customHeight="1" spans="1:7">
      <c r="A68" s="35" t="s">
        <v>138</v>
      </c>
      <c r="B68" s="19">
        <f>(B64-B63)*0.25</f>
        <v>-260378.42337156</v>
      </c>
      <c r="C68" s="35"/>
      <c r="D68" s="30" t="s">
        <v>139</v>
      </c>
      <c r="E68" s="23" t="s">
        <v>140</v>
      </c>
      <c r="F68" s="34">
        <f>F11-F63</f>
        <v>-43572.5450458721</v>
      </c>
      <c r="G68" s="34">
        <v>0</v>
      </c>
    </row>
    <row r="69" ht="18" customHeight="1" spans="1:7">
      <c r="A69" s="35" t="s">
        <v>141</v>
      </c>
      <c r="B69" s="108"/>
      <c r="C69" s="35"/>
      <c r="D69" s="109" t="s">
        <v>142</v>
      </c>
      <c r="E69" s="15">
        <v>0.07</v>
      </c>
      <c r="F69" s="25">
        <f>F68*E69</f>
        <v>-3050.07815321105</v>
      </c>
      <c r="G69" s="25">
        <v>0</v>
      </c>
    </row>
    <row r="70" ht="18" customHeight="1" spans="1:8">
      <c r="A70" s="35" t="s">
        <v>143</v>
      </c>
      <c r="B70" s="108"/>
      <c r="C70" s="35"/>
      <c r="D70" s="109" t="s">
        <v>144</v>
      </c>
      <c r="E70" s="15">
        <v>0.03</v>
      </c>
      <c r="F70" s="25">
        <f>F68*E70</f>
        <v>-1307.17635137616</v>
      </c>
      <c r="G70" s="25">
        <v>0</v>
      </c>
      <c r="H70" s="5" t="s">
        <v>132</v>
      </c>
    </row>
    <row r="71" ht="18" customHeight="1" spans="1:7">
      <c r="A71" s="35"/>
      <c r="B71" s="25"/>
      <c r="C71" s="35"/>
      <c r="D71" s="109" t="s">
        <v>145</v>
      </c>
      <c r="E71" s="15">
        <v>0.02</v>
      </c>
      <c r="F71" s="25">
        <f>F68*E71</f>
        <v>-871.450900917442</v>
      </c>
      <c r="G71" s="25">
        <v>0</v>
      </c>
    </row>
    <row r="72" ht="18" customHeight="1" spans="1:7">
      <c r="A72" s="30" t="s">
        <v>146</v>
      </c>
      <c r="B72" s="31">
        <f>SUM(B68:B71)</f>
        <v>-260378.42337156</v>
      </c>
      <c r="C72" s="35"/>
      <c r="D72" s="36" t="s">
        <v>146</v>
      </c>
      <c r="E72" s="30"/>
      <c r="F72" s="34">
        <f>SUM(F68:F71)</f>
        <v>-48801.2504513768</v>
      </c>
      <c r="G72" s="34">
        <v>0</v>
      </c>
    </row>
    <row r="73" ht="18" customHeight="1" spans="3:7">
      <c r="C73" s="3"/>
      <c r="D73" s="32" t="s">
        <v>138</v>
      </c>
      <c r="E73" s="58">
        <v>0.01</v>
      </c>
      <c r="F73" s="33">
        <f>G11*E73</f>
        <v>97280</v>
      </c>
      <c r="G73" s="33">
        <v>97280</v>
      </c>
    </row>
    <row r="74" ht="21" customHeight="1" spans="3:7">
      <c r="C74" s="3"/>
      <c r="D74" s="35" t="s">
        <v>141</v>
      </c>
      <c r="E74" s="110">
        <v>0.0003</v>
      </c>
      <c r="F74" s="110" t="s">
        <v>147</v>
      </c>
      <c r="G74" s="110">
        <v>0</v>
      </c>
    </row>
    <row r="75" ht="21" customHeight="1" spans="3:7">
      <c r="C75" s="3"/>
      <c r="D75" s="111" t="s">
        <v>143</v>
      </c>
      <c r="E75" s="112">
        <v>0.0006</v>
      </c>
      <c r="F75" s="112" t="s">
        <v>147</v>
      </c>
      <c r="G75" s="110">
        <v>0</v>
      </c>
    </row>
    <row r="76" ht="21" customHeight="1" spans="3:6">
      <c r="C76" s="3"/>
      <c r="D76" s="13" t="s">
        <v>148</v>
      </c>
      <c r="E76" s="13" t="s">
        <v>15</v>
      </c>
      <c r="F76" s="17" t="s">
        <v>136</v>
      </c>
    </row>
    <row r="77" ht="21" customHeight="1" spans="3:6">
      <c r="C77" s="3"/>
      <c r="D77" s="13" t="s">
        <v>139</v>
      </c>
      <c r="E77" s="13" t="s">
        <v>140</v>
      </c>
      <c r="F77" s="25">
        <v>367944.814954128</v>
      </c>
    </row>
    <row r="78" ht="21" customHeight="1" spans="3:6">
      <c r="C78" s="3"/>
      <c r="D78" s="13" t="s">
        <v>142</v>
      </c>
      <c r="E78" s="13">
        <v>0.07</v>
      </c>
      <c r="F78" s="25">
        <v>25756.137046789</v>
      </c>
    </row>
    <row r="79" ht="21" customHeight="1" spans="3:6">
      <c r="C79" s="3"/>
      <c r="D79" s="13" t="s">
        <v>144</v>
      </c>
      <c r="E79" s="13">
        <v>0.03</v>
      </c>
      <c r="F79" s="25">
        <v>11038.3444486238</v>
      </c>
    </row>
    <row r="80" ht="21" customHeight="1" spans="3:6">
      <c r="C80" s="3"/>
      <c r="D80" s="13" t="s">
        <v>145</v>
      </c>
      <c r="E80" s="13">
        <v>0.02</v>
      </c>
      <c r="F80" s="25">
        <v>7358.89629908257</v>
      </c>
    </row>
    <row r="81" ht="21" customHeight="1" spans="3:6">
      <c r="C81" s="3"/>
      <c r="D81" s="13" t="s">
        <v>146</v>
      </c>
      <c r="E81" s="13"/>
      <c r="F81" s="25">
        <v>412098.192748623</v>
      </c>
    </row>
    <row r="82" ht="24" customHeight="1" spans="3:3">
      <c r="C82" s="3"/>
    </row>
    <row r="83" ht="24" customHeight="1" spans="3:3">
      <c r="C83" s="3"/>
    </row>
    <row r="84" ht="24" customHeight="1" spans="3:3">
      <c r="C84" s="3"/>
    </row>
    <row r="85" ht="24" customHeight="1" spans="3:3">
      <c r="C85" s="3"/>
    </row>
    <row r="86" ht="24" customHeight="1" spans="3:3">
      <c r="C86" s="3"/>
    </row>
    <row r="87" ht="24" customHeight="1" spans="3:3">
      <c r="C87" s="3"/>
    </row>
    <row r="88" ht="24" customHeight="1" spans="3:3">
      <c r="C88" s="3"/>
    </row>
    <row r="89" ht="24" customHeight="1" spans="3:3">
      <c r="C89" s="3"/>
    </row>
    <row r="90" spans="3:3">
      <c r="C90" s="3"/>
    </row>
    <row r="91" spans="3:3">
      <c r="C91" s="3"/>
    </row>
    <row r="92" spans="3:3">
      <c r="C92" s="3"/>
    </row>
  </sheetData>
  <protectedRanges>
    <protectedRange sqref="L28" name="区域1"/>
    <protectedRange sqref="L47" name="区域1_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32" sqref="E32"/>
    </sheetView>
  </sheetViews>
  <sheetFormatPr defaultColWidth="9" defaultRowHeight="13.5" outlineLevelRow="2" outlineLevelCol="4"/>
  <cols>
    <col min="1" max="1" width="22.125" customWidth="1"/>
  </cols>
  <sheetData>
    <row r="1" spans="1:5">
      <c r="A1" s="1" t="s">
        <v>31</v>
      </c>
      <c r="B1" s="1" t="s">
        <v>32</v>
      </c>
      <c r="C1" s="1" t="s">
        <v>150</v>
      </c>
      <c r="D1" s="1" t="s">
        <v>151</v>
      </c>
      <c r="E1" s="1" t="s">
        <v>152</v>
      </c>
    </row>
    <row r="2" spans="1:5">
      <c r="A2" t="s">
        <v>39</v>
      </c>
      <c r="B2" t="s">
        <v>40</v>
      </c>
      <c r="C2" t="s">
        <v>153</v>
      </c>
      <c r="D2">
        <v>30.9</v>
      </c>
      <c r="E2" t="s">
        <v>154</v>
      </c>
    </row>
    <row r="3" spans="1:5">
      <c r="A3" t="s">
        <v>39</v>
      </c>
      <c r="B3" t="s">
        <v>40</v>
      </c>
      <c r="C3" t="s">
        <v>153</v>
      </c>
      <c r="D3">
        <v>30.94</v>
      </c>
      <c r="E3" t="s">
        <v>154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销货单位货品明细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2021-04-23T05:55:37Z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D54B319A843D4FB58AAB7D6A10251073</vt:lpwstr>
  </property>
</Properties>
</file>