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2" r:id="rId1"/>
    <sheet name="旧" sheetId="1" r:id="rId2"/>
  </sheets>
  <definedNames>
    <definedName name="_xlnm._FilterDatabase" localSheetId="0" hidden="1">新!$A$14:$O$59</definedName>
  </definedNames>
  <calcPr calcId="144525"/>
</workbook>
</file>

<file path=xl/comments1.xml><?xml version="1.0" encoding="utf-8"?>
<comments xmlns="http://schemas.openxmlformats.org/spreadsheetml/2006/main">
  <authors>
    <author>cw05</author>
    <author>cw09</author>
  </authors>
  <commentList>
    <comment ref="E15" authorId="0">
      <text>
        <r>
          <rPr>
            <sz val="9"/>
            <rFont val="宋体"/>
            <charset val="134"/>
          </rPr>
          <t>cw05:
填写专票税率</t>
        </r>
      </text>
    </comment>
    <comment ref="G15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52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53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G56" authorId="1">
      <text>
        <r>
          <rPr>
            <sz val="9"/>
            <rFont val="宋体"/>
            <charset val="134"/>
          </rPr>
          <t>cw09:
已收开票税金  28286.39元 2020.1.19  王光如卡   2020.7.3办理退税28286.39周恒泉</t>
        </r>
      </text>
    </comment>
    <comment ref="H58" authorId="1">
      <text>
        <r>
          <rPr>
            <sz val="9"/>
            <rFont val="宋体"/>
            <charset val="134"/>
          </rPr>
          <t xml:space="preserve">cw09:
企税1个点  朱敏   2020.1.22
</t>
        </r>
      </text>
    </comment>
  </commentList>
</comments>
</file>

<file path=xl/comments2.xml><?xml version="1.0" encoding="utf-8"?>
<comments xmlns="http://schemas.openxmlformats.org/spreadsheetml/2006/main">
  <authors>
    <author>cw05</author>
    <author>cw09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E14" authorId="0">
      <text>
        <r>
          <rPr>
            <sz val="9"/>
            <rFont val="宋体"/>
            <charset val="134"/>
          </rPr>
          <t>cw05:
填写专票税率</t>
        </r>
      </text>
    </comment>
    <comment ref="G14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39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40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G43" authorId="1">
      <text>
        <r>
          <rPr>
            <sz val="9"/>
            <rFont val="宋体"/>
            <charset val="134"/>
          </rPr>
          <t xml:space="preserve">cw09:
已收开票税金  28286.39元 2020.1.19  王光如卡   </t>
        </r>
      </text>
    </comment>
    <comment ref="H45" authorId="1">
      <text>
        <r>
          <rPr>
            <sz val="9"/>
            <rFont val="宋体"/>
            <charset val="134"/>
          </rPr>
          <t xml:space="preserve">cw09:
企税1个点  朱敏   2020.1.22
</t>
        </r>
      </text>
    </comment>
  </commentList>
</comments>
</file>

<file path=xl/sharedStrings.xml><?xml version="1.0" encoding="utf-8"?>
<sst xmlns="http://schemas.openxmlformats.org/spreadsheetml/2006/main" count="254" uniqueCount="84">
  <si>
    <t>C11765   54省道庆元黄坛至菊水及55省道菊水至松源段公路改建工程（K18+500～K25+556.929段）隧道机电配电工程</t>
  </si>
  <si>
    <t>中标日期</t>
  </si>
  <si>
    <t>中标价</t>
  </si>
  <si>
    <t>负责人</t>
  </si>
  <si>
    <t>周恒泉</t>
  </si>
  <si>
    <t>建设单位</t>
  </si>
  <si>
    <t>54省道庆元黄坛至菊水及55省道菊水至松源段公路改建工程指挥部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</si>
  <si>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</si>
  <si>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</si>
  <si>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</si>
  <si>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</si>
  <si>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</si>
  <si>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</si>
  <si>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</si>
  <si>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</si>
  <si>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</si>
  <si>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</si>
  <si>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</si>
  <si>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</si>
  <si>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</si>
  <si>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</si>
  <si>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</si>
  <si>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</si>
  <si>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</si>
  <si>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</si>
  <si>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</si>
  <si>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</si>
  <si>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</si>
  <si>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</si>
  <si>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</si>
  <si>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</si>
  <si>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</si>
  <si>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</si>
  <si>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</si>
  <si>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</si>
  <si>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</si>
  <si>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</si>
  <si>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浙江智明建设工程有限公司</t>
  </si>
  <si>
    <t>工程款</t>
  </si>
  <si>
    <t>有</t>
  </si>
  <si>
    <t>浙江瑞策信息技术有限公司</t>
  </si>
  <si>
    <t>技术服务</t>
  </si>
  <si>
    <t>丽水七星电力有限公司</t>
  </si>
  <si>
    <t>技术服务-多功能仪表20套、149套、高压微机9套</t>
  </si>
  <si>
    <t>材料费</t>
  </si>
  <si>
    <t>徽行</t>
  </si>
  <si>
    <t>宁波恒浩建设工程有限公司（周转金）</t>
  </si>
  <si>
    <t>2次</t>
  </si>
  <si>
    <t>退</t>
  </si>
  <si>
    <t>上次暂扣企税</t>
  </si>
  <si>
    <t>上次暂扣浙江瑞策信息技术有限公司（技术服务费）</t>
  </si>
  <si>
    <t>1次</t>
  </si>
  <si>
    <t>暂扣</t>
  </si>
  <si>
    <t>浙江瑞策信息技术有限公司（技术服务费）</t>
  </si>
  <si>
    <t>企税（成本不够）</t>
  </si>
  <si>
    <t>扣</t>
  </si>
  <si>
    <t>3笔转账手续费</t>
  </si>
  <si>
    <t>扣2020.3月份开票水利基金</t>
  </si>
  <si>
    <t>企税1%</t>
  </si>
  <si>
    <t>手续费</t>
  </si>
  <si>
    <t>水利基金</t>
  </si>
  <si>
    <t>代办费</t>
  </si>
  <si>
    <t>建造师占用费</t>
  </si>
  <si>
    <t>全部管理费</t>
  </si>
  <si>
    <t>尚需提供成本</t>
  </si>
  <si>
    <t>可支付金额</t>
  </si>
  <si>
    <t>公司代缴税金：</t>
  </si>
  <si>
    <t>税种</t>
  </si>
  <si>
    <t>税额</t>
  </si>
  <si>
    <t xml:space="preserve">20.1月开票税金  </t>
  </si>
  <si>
    <t>20.1开票</t>
  </si>
  <si>
    <t>2020.3月开票税金</t>
  </si>
  <si>
    <t>企业所得税</t>
  </si>
  <si>
    <t>增值税</t>
  </si>
  <si>
    <t>差额</t>
  </si>
  <si>
    <t>印花税</t>
  </si>
  <si>
    <t>已交</t>
  </si>
  <si>
    <t>城市维护建设税</t>
  </si>
  <si>
    <t>教育费附加</t>
  </si>
  <si>
    <t>地方教育费附加</t>
  </si>
  <si>
    <t>小计</t>
  </si>
  <si>
    <t>28286.39元 开票税金可退 2020.1.22</t>
  </si>
  <si>
    <t>54省道庆元黄坛至菊水及55省道菊水至松源段公路改建工程（K18+500～K25+556.929段）隧道机电配电工程</t>
  </si>
  <si>
    <t>管理费</t>
  </si>
</sst>
</file>

<file path=xl/styles.xml><?xml version="1.0" encoding="utf-8"?>
<styleSheet xmlns="http://schemas.openxmlformats.org/spreadsheetml/2006/main">
  <numFmts count="9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yy/m/d;@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#,##0.00_ "/>
    <numFmt numFmtId="179" formatCode="yyyy&quot;年&quot;m&quot;月&quot;;@"/>
    <numFmt numFmtId="180" formatCode="#,##0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11" fillId="14" borderId="8" applyNumberFormat="0" applyAlignment="0" applyProtection="0">
      <alignment vertical="center"/>
    </xf>
    <xf numFmtId="0" fontId="15" fillId="20" borderId="9" applyNumberForma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72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4" fillId="0" borderId="0" xfId="0" applyNumberFormat="1" applyFont="1"/>
    <xf numFmtId="178" fontId="2" fillId="0" borderId="2" xfId="0" applyNumberFormat="1" applyFont="1" applyBorder="1" applyAlignment="1">
      <alignment vertical="center"/>
    </xf>
    <xf numFmtId="43" fontId="4" fillId="0" borderId="0" xfId="8" applyFont="1" applyAlignment="1"/>
    <xf numFmtId="178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 wrapText="1"/>
    </xf>
    <xf numFmtId="176" fontId="1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vertical="center"/>
    </xf>
    <xf numFmtId="178" fontId="5" fillId="3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8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5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8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78" fontId="2" fillId="4" borderId="2" xfId="0" applyNumberFormat="1" applyFont="1" applyFill="1" applyBorder="1" applyAlignment="1">
      <alignment vertical="center"/>
    </xf>
    <xf numFmtId="178" fontId="2" fillId="0" borderId="2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horizontal="left" vertical="center" wrapText="1"/>
    </xf>
    <xf numFmtId="177" fontId="2" fillId="0" borderId="5" xfId="0" applyNumberFormat="1" applyFont="1" applyBorder="1" applyAlignment="1">
      <alignment horizontal="left" vertical="center" wrapText="1"/>
    </xf>
    <xf numFmtId="176" fontId="3" fillId="0" borderId="0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178" fontId="7" fillId="0" borderId="2" xfId="0" applyNumberFormat="1" applyFont="1" applyBorder="1" applyAlignment="1">
      <alignment vertical="center"/>
    </xf>
    <xf numFmtId="9" fontId="7" fillId="0" borderId="2" xfId="11" applyNumberFormat="1" applyFont="1" applyBorder="1" applyAlignment="1">
      <alignment horizontal="center" vertical="center"/>
    </xf>
    <xf numFmtId="178" fontId="7" fillId="0" borderId="2" xfId="0" applyNumberFormat="1" applyFont="1" applyFill="1" applyBorder="1" applyAlignment="1">
      <alignment vertical="center"/>
    </xf>
    <xf numFmtId="178" fontId="7" fillId="2" borderId="2" xfId="0" applyNumberFormat="1" applyFont="1" applyFill="1" applyBorder="1" applyAlignment="1">
      <alignment vertical="center"/>
    </xf>
    <xf numFmtId="43" fontId="1" fillId="0" borderId="2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 wrapText="1"/>
    </xf>
    <xf numFmtId="10" fontId="2" fillId="0" borderId="0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866775</xdr:colOff>
      <xdr:row>71</xdr:row>
      <xdr:rowOff>122555</xdr:rowOff>
    </xdr:from>
    <xdr:to>
      <xdr:col>8</xdr:col>
      <xdr:colOff>817880</xdr:colOff>
      <xdr:row>94</xdr:row>
      <xdr:rowOff>3810</xdr:rowOff>
    </xdr:to>
    <xdr:pic>
      <xdr:nvPicPr>
        <xdr:cNvPr id="2" name="图片 1" descr="TY860YP~GW)N19MRG$$)@)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9630" y="14415135"/>
          <a:ext cx="2761615" cy="3167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866775</xdr:colOff>
      <xdr:row>61</xdr:row>
      <xdr:rowOff>113665</xdr:rowOff>
    </xdr:from>
    <xdr:to>
      <xdr:col>8</xdr:col>
      <xdr:colOff>452120</xdr:colOff>
      <xdr:row>81</xdr:row>
      <xdr:rowOff>3810</xdr:rowOff>
    </xdr:to>
    <xdr:pic>
      <xdr:nvPicPr>
        <xdr:cNvPr id="2" name="图片 1" descr="TY860YP~GW)N19MRG$$)@)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7085" y="12993370"/>
          <a:ext cx="2395855" cy="2747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77"/>
  <sheetViews>
    <sheetView tabSelected="1" topLeftCell="A18" workbookViewId="0">
      <selection activeCell="G19" sqref="G19"/>
    </sheetView>
  </sheetViews>
  <sheetFormatPr defaultColWidth="9" defaultRowHeight="11.25"/>
  <cols>
    <col min="1" max="1" width="10.4416666666667" style="2" customWidth="1"/>
    <col min="2" max="2" width="14" style="3" customWidth="1"/>
    <col min="3" max="3" width="6" style="4" customWidth="1"/>
    <col min="4" max="4" width="13.3333333333333" style="4" customWidth="1"/>
    <col min="5" max="5" width="6" style="4" customWidth="1"/>
    <col min="6" max="6" width="13.1083333333333" style="3" customWidth="1"/>
    <col min="7" max="7" width="14.1083333333333" style="3" customWidth="1"/>
    <col min="8" max="8" width="9.66666666666667" style="4" customWidth="1"/>
    <col min="9" max="9" width="13.8833333333333" style="3" customWidth="1"/>
    <col min="10" max="10" width="13.6666666666667" style="5" customWidth="1"/>
    <col min="11" max="11" width="31.4416666666667" style="6" customWidth="1"/>
    <col min="12" max="12" width="17.3333333333333" style="60" customWidth="1"/>
    <col min="13" max="13" width="6" style="6" customWidth="1"/>
    <col min="14" max="14" width="5.66666666666667" style="6" customWidth="1"/>
    <col min="15" max="16384" width="9" style="6"/>
  </cols>
  <sheetData>
    <row r="1" ht="21.9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7"/>
      <c r="L1" s="66"/>
    </row>
    <row r="2" ht="18" customHeight="1" spans="1:12">
      <c r="A2" s="9" t="s">
        <v>1</v>
      </c>
      <c r="B2" s="10">
        <v>43720</v>
      </c>
      <c r="C2" s="11" t="s">
        <v>2</v>
      </c>
      <c r="D2" s="12">
        <v>4815367</v>
      </c>
      <c r="E2" s="13" t="s">
        <v>3</v>
      </c>
      <c r="F2" s="11" t="s">
        <v>4</v>
      </c>
      <c r="G2" s="14" t="s">
        <v>5</v>
      </c>
      <c r="H2" s="15" t="s">
        <v>6</v>
      </c>
      <c r="I2" s="49"/>
      <c r="J2" s="50"/>
      <c r="K2" s="17"/>
      <c r="L2" s="66"/>
    </row>
    <row r="3" ht="18" customHeight="1" spans="1:12">
      <c r="A3" s="9" t="s">
        <v>7</v>
      </c>
      <c r="B3" s="16"/>
      <c r="C3" s="11" t="s">
        <v>8</v>
      </c>
      <c r="D3" s="11"/>
      <c r="H3" s="17"/>
      <c r="I3" s="51"/>
      <c r="J3" s="17"/>
      <c r="K3" s="51"/>
      <c r="L3" s="66"/>
    </row>
    <row r="4" ht="18" customHeight="1" spans="1:12">
      <c r="A4" s="2" t="s">
        <v>9</v>
      </c>
      <c r="H4" s="17"/>
      <c r="I4" s="51"/>
      <c r="J4" s="17"/>
      <c r="K4" s="17"/>
      <c r="L4" s="66"/>
    </row>
    <row r="5" ht="18" customHeight="1" spans="1:10">
      <c r="A5" s="18" t="s">
        <v>10</v>
      </c>
      <c r="B5" s="19" t="s">
        <v>11</v>
      </c>
      <c r="C5" s="18" t="s">
        <v>12</v>
      </c>
      <c r="D5" s="18"/>
      <c r="E5" s="18" t="s">
        <v>13</v>
      </c>
      <c r="F5" s="19"/>
      <c r="G5" s="19" t="s">
        <v>14</v>
      </c>
      <c r="H5" s="20" t="s">
        <v>15</v>
      </c>
      <c r="I5" s="19"/>
      <c r="J5" s="20"/>
    </row>
    <row r="6" ht="18" customHeight="1" spans="1:10">
      <c r="A6" s="18"/>
      <c r="B6" s="19"/>
      <c r="C6" s="18" t="s">
        <v>16</v>
      </c>
      <c r="D6" s="18" t="s">
        <v>17</v>
      </c>
      <c r="E6" s="18" t="s">
        <v>16</v>
      </c>
      <c r="F6" s="19" t="s">
        <v>17</v>
      </c>
      <c r="G6" s="19"/>
      <c r="H6" s="20" t="s">
        <v>18</v>
      </c>
      <c r="I6" s="19" t="s">
        <v>19</v>
      </c>
      <c r="J6" s="20" t="s">
        <v>20</v>
      </c>
    </row>
    <row r="7" ht="18" customHeight="1" spans="1:10">
      <c r="A7" s="21">
        <v>43849</v>
      </c>
      <c r="B7" s="11">
        <f>G7/(1+C7+E7)</f>
        <v>3411343.11926605</v>
      </c>
      <c r="C7" s="25">
        <v>0.02</v>
      </c>
      <c r="D7" s="23">
        <f>G7/(1+E7+C7)*C7</f>
        <v>68226.8623853211</v>
      </c>
      <c r="E7" s="25">
        <v>0.07</v>
      </c>
      <c r="F7" s="11">
        <f>G7/(1+C7+E7)*E7</f>
        <v>238794.018348624</v>
      </c>
      <c r="G7" s="24">
        <v>3718364</v>
      </c>
      <c r="H7" s="21">
        <v>43852</v>
      </c>
      <c r="I7" s="11">
        <v>2000000</v>
      </c>
      <c r="J7" s="45" t="s">
        <v>21</v>
      </c>
    </row>
    <row r="8" ht="18" customHeight="1" spans="1:10">
      <c r="A8" s="21">
        <v>43909</v>
      </c>
      <c r="B8" s="11">
        <f>G8/(1+C8+E8)</f>
        <v>379038.532110092</v>
      </c>
      <c r="C8" s="22">
        <v>0.02</v>
      </c>
      <c r="D8" s="23">
        <f>G8/(1+E8+C8)*C8</f>
        <v>7580.77064220183</v>
      </c>
      <c r="E8" s="22">
        <v>0.07</v>
      </c>
      <c r="F8" s="11">
        <f>G8/(1+C8+E8)*E8</f>
        <v>26532.6972477064</v>
      </c>
      <c r="G8" s="24">
        <v>413152</v>
      </c>
      <c r="H8" s="21">
        <v>43916</v>
      </c>
      <c r="I8" s="11">
        <v>1718364</v>
      </c>
      <c r="J8" s="45" t="s">
        <v>21</v>
      </c>
    </row>
    <row r="9" ht="18" customHeight="1" spans="1:10">
      <c r="A9" s="21"/>
      <c r="B9" s="61">
        <f>G9/(1+C9+E9)</f>
        <v>732224.770642202</v>
      </c>
      <c r="C9" s="62">
        <v>0.02</v>
      </c>
      <c r="D9" s="63">
        <f>G9/(1+E9+C9)*C9</f>
        <v>14644.495412844</v>
      </c>
      <c r="E9" s="62">
        <v>0.07</v>
      </c>
      <c r="F9" s="61">
        <f>G9/(1+C9+E9)*E9</f>
        <v>51255.7339449541</v>
      </c>
      <c r="G9" s="64">
        <v>798125</v>
      </c>
      <c r="H9" s="21"/>
      <c r="I9" s="11"/>
      <c r="J9" s="45"/>
    </row>
    <row r="10" ht="18" customHeight="1" spans="1:10">
      <c r="A10" s="21"/>
      <c r="B10" s="11">
        <f>G10/(1+C10+E10)</f>
        <v>0</v>
      </c>
      <c r="C10" s="22"/>
      <c r="D10" s="23">
        <f>G10/(1+E10+C10)*C10</f>
        <v>0</v>
      </c>
      <c r="E10" s="22"/>
      <c r="F10" s="11">
        <f>G10/(1+C10+E10)*E10</f>
        <v>0</v>
      </c>
      <c r="G10" s="24"/>
      <c r="H10" s="21"/>
      <c r="I10" s="11"/>
      <c r="J10" s="45"/>
    </row>
    <row r="11" ht="18" customHeight="1" spans="1:10">
      <c r="A11" s="21"/>
      <c r="B11" s="11">
        <f>G11/(1+C11+E11)</f>
        <v>0</v>
      </c>
      <c r="C11" s="22">
        <v>0.02</v>
      </c>
      <c r="D11" s="23">
        <f>G11/(1+E11+C11)*C11</f>
        <v>0</v>
      </c>
      <c r="E11" s="22"/>
      <c r="F11" s="11">
        <f>G11/(1+C11+E11)*E11</f>
        <v>0</v>
      </c>
      <c r="G11" s="24"/>
      <c r="H11" s="21"/>
      <c r="I11" s="11"/>
      <c r="J11" s="45"/>
    </row>
    <row r="12" ht="18" customHeight="1" spans="1:10">
      <c r="A12" s="26" t="s">
        <v>22</v>
      </c>
      <c r="B12" s="27">
        <f>SUM(B7:B11)</f>
        <v>4522606.42201834</v>
      </c>
      <c r="C12" s="28"/>
      <c r="D12" s="28">
        <f>SUM(D7:D11)</f>
        <v>90452.128440367</v>
      </c>
      <c r="E12" s="28"/>
      <c r="F12" s="29">
        <f>SUM(F7:F11)</f>
        <v>316582.449541285</v>
      </c>
      <c r="G12" s="28">
        <f>SUM(G7:G11)</f>
        <v>4929641</v>
      </c>
      <c r="H12" s="30"/>
      <c r="I12" s="28">
        <f>SUM(I7:I11)</f>
        <v>3718364</v>
      </c>
      <c r="J12" s="30"/>
    </row>
    <row r="13" ht="18" customHeight="1" spans="1:12">
      <c r="A13" s="2" t="s">
        <v>23</v>
      </c>
      <c r="J13" s="4"/>
      <c r="K13" s="4"/>
      <c r="L13" s="67"/>
    </row>
    <row r="14" ht="18" customHeight="1" spans="1:15">
      <c r="A14" s="31" t="s">
        <v>24</v>
      </c>
      <c r="B14" s="19" t="s">
        <v>25</v>
      </c>
      <c r="C14" s="18" t="s">
        <v>26</v>
      </c>
      <c r="D14" s="18" t="s">
        <v>27</v>
      </c>
      <c r="E14" s="18" t="s">
        <v>16</v>
      </c>
      <c r="F14" s="19" t="s">
        <v>28</v>
      </c>
      <c r="G14" s="19" t="s">
        <v>14</v>
      </c>
      <c r="H14" s="18" t="s">
        <v>29</v>
      </c>
      <c r="I14" s="19" t="s">
        <v>30</v>
      </c>
      <c r="J14" s="18" t="s">
        <v>20</v>
      </c>
      <c r="K14" s="52" t="s">
        <v>31</v>
      </c>
      <c r="L14" s="68" t="s">
        <v>32</v>
      </c>
      <c r="M14" s="20" t="s">
        <v>33</v>
      </c>
      <c r="N14" s="20" t="s">
        <v>34</v>
      </c>
      <c r="O14" s="20" t="s">
        <v>35</v>
      </c>
    </row>
    <row r="15" s="1" customFormat="1" ht="18" customHeight="1" spans="1:15">
      <c r="A15" s="32">
        <v>43850</v>
      </c>
      <c r="B15" s="33">
        <f t="shared" ref="B15:B22" si="0">ROUND(G15/(1+E15),2)</f>
        <v>532683.49</v>
      </c>
      <c r="C15" s="34"/>
      <c r="D15" s="35" t="s">
        <v>36</v>
      </c>
      <c r="E15" s="36">
        <v>0.09</v>
      </c>
      <c r="F15" s="33">
        <f t="shared" ref="F15:F22" si="1">ROUND(G15/(1+E15)*E15,2)</f>
        <v>47941.51</v>
      </c>
      <c r="G15" s="24">
        <v>580625</v>
      </c>
      <c r="H15" s="21">
        <v>43853</v>
      </c>
      <c r="I15" s="11">
        <v>580625</v>
      </c>
      <c r="J15" s="45" t="s">
        <v>21</v>
      </c>
      <c r="K15" s="53" t="s">
        <v>37</v>
      </c>
      <c r="L15" s="69" t="s">
        <v>38</v>
      </c>
      <c r="M15" s="55" t="s">
        <v>39</v>
      </c>
      <c r="N15" s="55"/>
      <c r="O15" s="54"/>
    </row>
    <row r="16" s="1" customFormat="1" ht="18" customHeight="1" spans="1:15">
      <c r="A16" s="32">
        <v>43850</v>
      </c>
      <c r="B16" s="33">
        <f t="shared" si="0"/>
        <v>133519.74</v>
      </c>
      <c r="C16" s="34">
        <v>2</v>
      </c>
      <c r="D16" s="35" t="s">
        <v>36</v>
      </c>
      <c r="E16" s="36">
        <v>0.09</v>
      </c>
      <c r="F16" s="33">
        <f t="shared" si="1"/>
        <v>12016.78</v>
      </c>
      <c r="G16" s="24">
        <f>100000+45536.52</f>
        <v>145536.52</v>
      </c>
      <c r="H16" s="21">
        <v>43853</v>
      </c>
      <c r="I16" s="11">
        <v>145536.52</v>
      </c>
      <c r="J16" s="45" t="s">
        <v>21</v>
      </c>
      <c r="K16" s="53" t="s">
        <v>40</v>
      </c>
      <c r="L16" s="69" t="s">
        <v>38</v>
      </c>
      <c r="M16" s="55" t="s">
        <v>39</v>
      </c>
      <c r="N16" s="55"/>
      <c r="O16" s="54"/>
    </row>
    <row r="17" s="1" customFormat="1" ht="18" customHeight="1" spans="1:15">
      <c r="A17" s="32">
        <v>43850</v>
      </c>
      <c r="B17" s="33">
        <f t="shared" si="0"/>
        <v>222018.35</v>
      </c>
      <c r="C17" s="34"/>
      <c r="D17" s="35" t="s">
        <v>36</v>
      </c>
      <c r="E17" s="36">
        <v>0.09</v>
      </c>
      <c r="F17" s="33">
        <f t="shared" si="1"/>
        <v>19981.65</v>
      </c>
      <c r="G17" s="24">
        <f>100000*2+42000</f>
        <v>242000</v>
      </c>
      <c r="H17" s="21">
        <v>43853</v>
      </c>
      <c r="I17" s="11">
        <v>120000</v>
      </c>
      <c r="J17" s="45" t="s">
        <v>21</v>
      </c>
      <c r="K17" s="53" t="s">
        <v>40</v>
      </c>
      <c r="L17" s="69" t="s">
        <v>41</v>
      </c>
      <c r="M17" s="55" t="s">
        <v>39</v>
      </c>
      <c r="N17" s="55"/>
      <c r="O17" s="54"/>
    </row>
    <row r="18" s="1" customFormat="1" ht="18" customHeight="1" spans="1:15">
      <c r="A18" s="32">
        <v>43850</v>
      </c>
      <c r="B18" s="33">
        <f t="shared" si="0"/>
        <v>1834862.39</v>
      </c>
      <c r="C18" s="34"/>
      <c r="D18" s="35" t="s">
        <v>36</v>
      </c>
      <c r="E18" s="36">
        <v>0.09</v>
      </c>
      <c r="F18" s="33">
        <f t="shared" si="1"/>
        <v>165137.61</v>
      </c>
      <c r="G18" s="24">
        <f>1000000*2</f>
        <v>2000000</v>
      </c>
      <c r="H18" s="21">
        <v>43853</v>
      </c>
      <c r="I18" s="11">
        <v>743499.48</v>
      </c>
      <c r="J18" s="45" t="s">
        <v>21</v>
      </c>
      <c r="K18" s="53" t="s">
        <v>42</v>
      </c>
      <c r="L18" s="69" t="s">
        <v>38</v>
      </c>
      <c r="M18" s="55" t="s">
        <v>39</v>
      </c>
      <c r="N18" s="55"/>
      <c r="O18" s="54"/>
    </row>
    <row r="19" s="1" customFormat="1" ht="19" customHeight="1" spans="1:15">
      <c r="A19" s="32">
        <v>43891</v>
      </c>
      <c r="B19" s="33">
        <f t="shared" si="0"/>
        <v>718553.1</v>
      </c>
      <c r="C19" s="34"/>
      <c r="D19" s="35" t="s">
        <v>36</v>
      </c>
      <c r="E19" s="36">
        <v>0.13</v>
      </c>
      <c r="F19" s="33">
        <f t="shared" si="1"/>
        <v>93411.9</v>
      </c>
      <c r="G19" s="24">
        <f>84750+84750+10740+107400+107400+107400+103125+98500+107900</f>
        <v>811965</v>
      </c>
      <c r="H19" s="21"/>
      <c r="I19" s="11"/>
      <c r="J19" s="45"/>
      <c r="K19" s="53" t="s">
        <v>40</v>
      </c>
      <c r="L19" s="69" t="s">
        <v>43</v>
      </c>
      <c r="M19" s="55" t="s">
        <v>39</v>
      </c>
      <c r="N19" s="55" t="s">
        <v>39</v>
      </c>
      <c r="O19" s="54"/>
    </row>
    <row r="20" s="1" customFormat="1" ht="18" customHeight="1" spans="1:15">
      <c r="A20" s="32">
        <v>43891</v>
      </c>
      <c r="B20" s="33">
        <f t="shared" si="0"/>
        <v>476655.49</v>
      </c>
      <c r="C20" s="34"/>
      <c r="D20" s="35" t="s">
        <v>36</v>
      </c>
      <c r="E20" s="36">
        <v>0.09</v>
      </c>
      <c r="F20" s="33">
        <f t="shared" si="1"/>
        <v>42898.99</v>
      </c>
      <c r="G20" s="24">
        <f>19554.48+100000+100000+100000+100000+100000</f>
        <v>519554.48</v>
      </c>
      <c r="H20" s="21"/>
      <c r="I20" s="11"/>
      <c r="J20" s="45"/>
      <c r="K20" s="53" t="s">
        <v>40</v>
      </c>
      <c r="L20" s="69" t="s">
        <v>38</v>
      </c>
      <c r="M20" s="55" t="s">
        <v>39</v>
      </c>
      <c r="N20" s="55"/>
      <c r="O20" s="54"/>
    </row>
    <row r="21" s="1" customFormat="1" ht="18" customHeight="1" spans="1:15">
      <c r="A21" s="32"/>
      <c r="B21" s="33"/>
      <c r="C21" s="34"/>
      <c r="D21" s="35"/>
      <c r="E21" s="37"/>
      <c r="F21" s="33"/>
      <c r="G21" s="24"/>
      <c r="H21" s="21">
        <v>43924</v>
      </c>
      <c r="I21" s="11">
        <v>644184.52</v>
      </c>
      <c r="J21" s="45" t="s">
        <v>21</v>
      </c>
      <c r="K21" s="70" t="s">
        <v>42</v>
      </c>
      <c r="L21" s="71" t="s">
        <v>38</v>
      </c>
      <c r="M21" s="55"/>
      <c r="N21" s="55"/>
      <c r="O21" s="54"/>
    </row>
    <row r="22" s="1" customFormat="1" ht="18" customHeight="1" spans="1:15">
      <c r="A22" s="32"/>
      <c r="B22" s="33"/>
      <c r="C22" s="34"/>
      <c r="D22" s="35"/>
      <c r="E22" s="37"/>
      <c r="F22" s="33"/>
      <c r="G22" s="24"/>
      <c r="H22" s="21">
        <v>43924</v>
      </c>
      <c r="I22" s="11">
        <v>811965</v>
      </c>
      <c r="J22" s="45" t="s">
        <v>21</v>
      </c>
      <c r="K22" s="70" t="s">
        <v>40</v>
      </c>
      <c r="L22" s="71" t="s">
        <v>44</v>
      </c>
      <c r="M22" s="55"/>
      <c r="N22" s="55"/>
      <c r="O22" s="54"/>
    </row>
    <row r="23" s="1" customFormat="1" ht="18" customHeight="1" spans="1:15">
      <c r="A23" s="32"/>
      <c r="B23" s="33"/>
      <c r="C23" s="34"/>
      <c r="D23" s="35"/>
      <c r="E23" s="37"/>
      <c r="F23" s="33"/>
      <c r="G23" s="24"/>
      <c r="H23" s="21">
        <v>43924</v>
      </c>
      <c r="I23" s="11">
        <v>519554.48</v>
      </c>
      <c r="J23" s="45" t="s">
        <v>21</v>
      </c>
      <c r="K23" s="70" t="s">
        <v>40</v>
      </c>
      <c r="L23" s="71" t="s">
        <v>38</v>
      </c>
      <c r="M23" s="55"/>
      <c r="N23" s="55"/>
      <c r="O23" s="54"/>
    </row>
    <row r="24" s="1" customFormat="1" ht="18" customHeight="1" spans="1:15">
      <c r="A24" s="32"/>
      <c r="B24" s="33"/>
      <c r="C24" s="34"/>
      <c r="D24" s="35"/>
      <c r="E24" s="37"/>
      <c r="F24" s="33"/>
      <c r="G24" s="24"/>
      <c r="H24" s="21">
        <v>44224</v>
      </c>
      <c r="I24" s="11">
        <v>-612316</v>
      </c>
      <c r="J24" s="45" t="s">
        <v>45</v>
      </c>
      <c r="K24" s="70" t="s">
        <v>46</v>
      </c>
      <c r="L24" s="71"/>
      <c r="M24" s="55"/>
      <c r="N24" s="55"/>
      <c r="O24" s="54"/>
    </row>
    <row r="25" s="1" customFormat="1" ht="18" customHeight="1" spans="1:15">
      <c r="A25" s="32"/>
      <c r="B25" s="33"/>
      <c r="C25" s="34"/>
      <c r="D25" s="35"/>
      <c r="E25" s="37"/>
      <c r="F25" s="33"/>
      <c r="G25" s="24"/>
      <c r="H25" s="21">
        <v>44235</v>
      </c>
      <c r="I25" s="11">
        <v>612316</v>
      </c>
      <c r="J25" s="45" t="s">
        <v>21</v>
      </c>
      <c r="K25" s="70" t="s">
        <v>42</v>
      </c>
      <c r="L25" s="71" t="s">
        <v>38</v>
      </c>
      <c r="M25" s="55"/>
      <c r="N25" s="55"/>
      <c r="O25" s="54"/>
    </row>
    <row r="26" s="1" customFormat="1" ht="18" customHeight="1" spans="1:15">
      <c r="A26" s="32"/>
      <c r="B26" s="33"/>
      <c r="C26" s="34"/>
      <c r="D26" s="35"/>
      <c r="E26" s="37"/>
      <c r="F26" s="33"/>
      <c r="G26" s="24"/>
      <c r="H26" s="21"/>
      <c r="I26" s="11"/>
      <c r="J26" s="45"/>
      <c r="K26" s="70"/>
      <c r="L26" s="71"/>
      <c r="M26" s="55"/>
      <c r="N26" s="55"/>
      <c r="O26" s="54"/>
    </row>
    <row r="27" s="1" customFormat="1" ht="18" customHeight="1" spans="1:15">
      <c r="A27" s="32"/>
      <c r="B27" s="33"/>
      <c r="C27" s="34"/>
      <c r="D27" s="35"/>
      <c r="E27" s="37"/>
      <c r="F27" s="33"/>
      <c r="G27" s="24"/>
      <c r="H27" s="21"/>
      <c r="I27" s="11"/>
      <c r="J27" s="45"/>
      <c r="K27" s="70"/>
      <c r="L27" s="71"/>
      <c r="M27" s="55"/>
      <c r="N27" s="55"/>
      <c r="O27" s="54"/>
    </row>
    <row r="28" s="1" customFormat="1" ht="18" customHeight="1" spans="1:15">
      <c r="A28" s="32"/>
      <c r="B28" s="33"/>
      <c r="C28" s="34"/>
      <c r="D28" s="35"/>
      <c r="E28" s="37"/>
      <c r="F28" s="33"/>
      <c r="G28" s="24"/>
      <c r="H28" s="21"/>
      <c r="I28" s="11"/>
      <c r="J28" s="45"/>
      <c r="K28" s="70"/>
      <c r="L28" s="71"/>
      <c r="M28" s="55"/>
      <c r="N28" s="55"/>
      <c r="O28" s="54"/>
    </row>
    <row r="29" s="1" customFormat="1" ht="18" customHeight="1" spans="1:15">
      <c r="A29" s="32"/>
      <c r="B29" s="33"/>
      <c r="C29" s="34"/>
      <c r="D29" s="35"/>
      <c r="E29" s="37"/>
      <c r="F29" s="33"/>
      <c r="G29" s="24"/>
      <c r="H29" s="21"/>
      <c r="I29" s="11"/>
      <c r="J29" s="45"/>
      <c r="K29" s="70"/>
      <c r="L29" s="71"/>
      <c r="M29" s="55"/>
      <c r="N29" s="55"/>
      <c r="O29" s="54"/>
    </row>
    <row r="30" s="1" customFormat="1" ht="18" customHeight="1" spans="1:15">
      <c r="A30" s="32"/>
      <c r="B30" s="33"/>
      <c r="C30" s="34"/>
      <c r="D30" s="35"/>
      <c r="E30" s="37"/>
      <c r="F30" s="33"/>
      <c r="G30" s="24"/>
      <c r="H30" s="21"/>
      <c r="I30" s="11"/>
      <c r="J30" s="45"/>
      <c r="K30" s="70"/>
      <c r="L30" s="71"/>
      <c r="M30" s="55"/>
      <c r="N30" s="55"/>
      <c r="O30" s="54"/>
    </row>
    <row r="31" s="1" customFormat="1" ht="18" customHeight="1" spans="1:15">
      <c r="A31" s="32"/>
      <c r="B31" s="33"/>
      <c r="C31" s="34"/>
      <c r="D31" s="35"/>
      <c r="E31" s="37"/>
      <c r="F31" s="33"/>
      <c r="G31" s="24"/>
      <c r="H31" s="21"/>
      <c r="I31" s="11"/>
      <c r="J31" s="45"/>
      <c r="K31" s="70"/>
      <c r="L31" s="71"/>
      <c r="M31" s="55"/>
      <c r="N31" s="55"/>
      <c r="O31" s="54"/>
    </row>
    <row r="32" s="1" customFormat="1" ht="18" customHeight="1" spans="1:15">
      <c r="A32" s="32"/>
      <c r="B32" s="33"/>
      <c r="C32" s="34"/>
      <c r="D32" s="35"/>
      <c r="E32" s="37"/>
      <c r="F32" s="33"/>
      <c r="G32" s="24"/>
      <c r="H32" s="21"/>
      <c r="I32" s="11"/>
      <c r="J32" s="45"/>
      <c r="K32" s="70"/>
      <c r="L32" s="71"/>
      <c r="M32" s="55"/>
      <c r="N32" s="55"/>
      <c r="O32" s="54"/>
    </row>
    <row r="33" s="1" customFormat="1" ht="18" customHeight="1" spans="1:15">
      <c r="A33" s="32"/>
      <c r="B33" s="33"/>
      <c r="C33" s="34"/>
      <c r="D33" s="35"/>
      <c r="E33" s="37"/>
      <c r="F33" s="33"/>
      <c r="G33" s="24"/>
      <c r="H33" s="21"/>
      <c r="I33" s="11"/>
      <c r="J33" s="45"/>
      <c r="K33" s="70"/>
      <c r="L33" s="71"/>
      <c r="M33" s="55"/>
      <c r="N33" s="55"/>
      <c r="O33" s="54"/>
    </row>
    <row r="34" s="1" customFormat="1" ht="18" customHeight="1" spans="1:15">
      <c r="A34" s="32"/>
      <c r="B34" s="33"/>
      <c r="C34" s="34"/>
      <c r="D34" s="35"/>
      <c r="E34" s="37"/>
      <c r="F34" s="33"/>
      <c r="G34" s="24"/>
      <c r="H34" s="21" t="s">
        <v>47</v>
      </c>
      <c r="I34" s="11">
        <v>-140000</v>
      </c>
      <c r="J34" s="45" t="s">
        <v>48</v>
      </c>
      <c r="K34" s="70" t="s">
        <v>49</v>
      </c>
      <c r="L34" s="71"/>
      <c r="M34" s="55"/>
      <c r="N34" s="55"/>
      <c r="O34" s="54"/>
    </row>
    <row r="35" s="1" customFormat="1" ht="18" customHeight="1" spans="1:15">
      <c r="A35" s="32"/>
      <c r="B35" s="33"/>
      <c r="C35" s="34"/>
      <c r="D35" s="35"/>
      <c r="E35" s="37"/>
      <c r="F35" s="33"/>
      <c r="G35" s="24"/>
      <c r="H35" s="21" t="s">
        <v>47</v>
      </c>
      <c r="I35" s="11">
        <v>-122000</v>
      </c>
      <c r="J35" s="45" t="s">
        <v>48</v>
      </c>
      <c r="K35" s="70" t="s">
        <v>50</v>
      </c>
      <c r="L35" s="71"/>
      <c r="M35" s="55"/>
      <c r="N35" s="55"/>
      <c r="O35" s="54"/>
    </row>
    <row r="36" s="1" customFormat="1" ht="18" customHeight="1" spans="1:15">
      <c r="A36" s="32"/>
      <c r="B36" s="33"/>
      <c r="C36" s="34"/>
      <c r="D36" s="35"/>
      <c r="E36" s="37"/>
      <c r="F36" s="33"/>
      <c r="G36" s="24"/>
      <c r="H36" s="21" t="s">
        <v>51</v>
      </c>
      <c r="I36" s="11">
        <v>122000</v>
      </c>
      <c r="J36" s="45" t="s">
        <v>52</v>
      </c>
      <c r="K36" s="70" t="s">
        <v>53</v>
      </c>
      <c r="L36" s="71"/>
      <c r="M36" s="55"/>
      <c r="N36" s="55"/>
      <c r="O36" s="54"/>
    </row>
    <row r="37" s="1" customFormat="1" ht="18" customHeight="1" spans="1:15">
      <c r="A37" s="32"/>
      <c r="B37" s="33"/>
      <c r="C37" s="34"/>
      <c r="D37" s="35"/>
      <c r="E37" s="37"/>
      <c r="F37" s="33"/>
      <c r="G37" s="24"/>
      <c r="H37" s="21" t="s">
        <v>51</v>
      </c>
      <c r="I37" s="11">
        <v>140000</v>
      </c>
      <c r="J37" s="45" t="s">
        <v>52</v>
      </c>
      <c r="K37" s="70" t="s">
        <v>54</v>
      </c>
      <c r="L37" s="71"/>
      <c r="M37" s="55"/>
      <c r="N37" s="55"/>
      <c r="O37" s="54"/>
    </row>
    <row r="38" s="1" customFormat="1" ht="18" customHeight="1" spans="1:15">
      <c r="A38" s="32"/>
      <c r="B38" s="33"/>
      <c r="C38" s="34"/>
      <c r="D38" s="35"/>
      <c r="E38" s="37"/>
      <c r="F38" s="33"/>
      <c r="G38" s="24"/>
      <c r="H38" s="21" t="s">
        <v>47</v>
      </c>
      <c r="I38" s="11">
        <v>300</v>
      </c>
      <c r="J38" s="45" t="s">
        <v>55</v>
      </c>
      <c r="K38" s="70" t="s">
        <v>56</v>
      </c>
      <c r="L38" s="71"/>
      <c r="M38" s="55"/>
      <c r="N38" s="55"/>
      <c r="O38" s="54"/>
    </row>
    <row r="39" s="1" customFormat="1" ht="18" customHeight="1" spans="1:15">
      <c r="A39" s="32"/>
      <c r="B39" s="33"/>
      <c r="C39" s="34"/>
      <c r="D39" s="35"/>
      <c r="E39" s="37"/>
      <c r="F39" s="33"/>
      <c r="G39" s="24"/>
      <c r="H39" s="21" t="s">
        <v>47</v>
      </c>
      <c r="I39" s="11">
        <v>228</v>
      </c>
      <c r="J39" s="45" t="s">
        <v>55</v>
      </c>
      <c r="K39" s="70" t="s">
        <v>57</v>
      </c>
      <c r="L39" s="71"/>
      <c r="M39" s="55"/>
      <c r="N39" s="55"/>
      <c r="O39" s="54"/>
    </row>
    <row r="40" s="1" customFormat="1" ht="18" customHeight="1" spans="1:15">
      <c r="A40" s="32"/>
      <c r="B40" s="33"/>
      <c r="C40" s="34"/>
      <c r="D40" s="35"/>
      <c r="E40" s="37"/>
      <c r="F40" s="33"/>
      <c r="G40" s="24"/>
      <c r="H40" s="21" t="s">
        <v>47</v>
      </c>
      <c r="I40" s="11">
        <v>4132</v>
      </c>
      <c r="J40" s="45" t="s">
        <v>55</v>
      </c>
      <c r="K40" s="70" t="s">
        <v>58</v>
      </c>
      <c r="L40" s="71"/>
      <c r="M40" s="55"/>
      <c r="N40" s="55"/>
      <c r="O40" s="54"/>
    </row>
    <row r="41" s="1" customFormat="1" ht="18" customHeight="1" spans="1:15">
      <c r="A41" s="32"/>
      <c r="B41" s="33">
        <f t="shared" ref="B41" si="2">ROUND(G41/(1+E41),2)</f>
        <v>0</v>
      </c>
      <c r="C41" s="34"/>
      <c r="D41" s="35"/>
      <c r="E41" s="37"/>
      <c r="F41" s="33">
        <f t="shared" ref="F41" si="3">ROUND(G41/(1+E41)*E41,2)</f>
        <v>0</v>
      </c>
      <c r="G41" s="24"/>
      <c r="H41" s="21" t="s">
        <v>51</v>
      </c>
      <c r="I41" s="11">
        <v>300</v>
      </c>
      <c r="J41" s="45" t="s">
        <v>55</v>
      </c>
      <c r="K41" s="53" t="s">
        <v>59</v>
      </c>
      <c r="L41" s="69"/>
      <c r="M41" s="55"/>
      <c r="N41" s="55"/>
      <c r="O41" s="54"/>
    </row>
    <row r="42" s="1" customFormat="1" ht="18" customHeight="1" spans="1:15">
      <c r="A42" s="32"/>
      <c r="B42" s="33"/>
      <c r="C42" s="34"/>
      <c r="D42" s="35"/>
      <c r="E42" s="37"/>
      <c r="F42" s="33"/>
      <c r="G42" s="24"/>
      <c r="H42" s="21" t="s">
        <v>51</v>
      </c>
      <c r="I42" s="11">
        <v>37184</v>
      </c>
      <c r="J42" s="45" t="s">
        <v>55</v>
      </c>
      <c r="K42" s="53" t="s">
        <v>58</v>
      </c>
      <c r="L42" s="69"/>
      <c r="M42" s="55"/>
      <c r="N42" s="55"/>
      <c r="O42" s="54"/>
    </row>
    <row r="43" s="1" customFormat="1" ht="18" customHeight="1" spans="1:15">
      <c r="A43" s="32"/>
      <c r="B43" s="33">
        <f>ROUND(G43/(1+E43),2)</f>
        <v>0</v>
      </c>
      <c r="C43" s="34"/>
      <c r="D43" s="35"/>
      <c r="E43" s="37"/>
      <c r="F43" s="33">
        <f>ROUND(G43/(1+E43)*E43,2)</f>
        <v>0</v>
      </c>
      <c r="G43" s="24"/>
      <c r="H43" s="21" t="s">
        <v>51</v>
      </c>
      <c r="I43" s="11">
        <v>2047</v>
      </c>
      <c r="J43" s="45" t="s">
        <v>55</v>
      </c>
      <c r="K43" s="53" t="s">
        <v>60</v>
      </c>
      <c r="L43" s="69"/>
      <c r="M43" s="55"/>
      <c r="N43" s="55"/>
      <c r="O43" s="54"/>
    </row>
    <row r="44" s="1" customFormat="1" ht="18" customHeight="1" spans="1:15">
      <c r="A44" s="32"/>
      <c r="B44" s="33">
        <f>ROUND(G44/(1+E44),2)</f>
        <v>0</v>
      </c>
      <c r="C44" s="34"/>
      <c r="D44" s="35"/>
      <c r="E44" s="37"/>
      <c r="F44" s="33">
        <f>ROUND(G44/(1+E44)*E44,2)</f>
        <v>0</v>
      </c>
      <c r="G44" s="24"/>
      <c r="H44" s="21" t="s">
        <v>51</v>
      </c>
      <c r="I44" s="11">
        <v>500</v>
      </c>
      <c r="J44" s="45" t="s">
        <v>55</v>
      </c>
      <c r="K44" s="53" t="s">
        <v>61</v>
      </c>
      <c r="L44" s="69"/>
      <c r="M44" s="55"/>
      <c r="N44" s="55"/>
      <c r="O44" s="54"/>
    </row>
    <row r="45" s="1" customFormat="1" ht="18" customHeight="1" spans="1:15">
      <c r="A45" s="32"/>
      <c r="B45" s="33">
        <f>ROUND(G45/(1+E45),2)</f>
        <v>0</v>
      </c>
      <c r="C45" s="34"/>
      <c r="D45" s="35"/>
      <c r="E45" s="37"/>
      <c r="F45" s="33">
        <f>ROUND(G45/(1+E45)*E45,2)</f>
        <v>0</v>
      </c>
      <c r="G45" s="24"/>
      <c r="H45" s="21" t="s">
        <v>51</v>
      </c>
      <c r="I45" s="11">
        <v>12000</v>
      </c>
      <c r="J45" s="45" t="s">
        <v>55</v>
      </c>
      <c r="K45" s="53" t="s">
        <v>62</v>
      </c>
      <c r="L45" s="69"/>
      <c r="M45" s="55"/>
      <c r="N45" s="55"/>
      <c r="O45" s="54"/>
    </row>
    <row r="46" s="1" customFormat="1" ht="18" customHeight="1" spans="1:15">
      <c r="A46" s="32"/>
      <c r="B46" s="33">
        <f>ROUND(G46/(1+E46),2)</f>
        <v>96308</v>
      </c>
      <c r="C46" s="34"/>
      <c r="D46" s="65"/>
      <c r="E46" s="37"/>
      <c r="F46" s="33">
        <f>ROUND(G46/(1+E46)*E46,2)</f>
        <v>0</v>
      </c>
      <c r="G46" s="24">
        <f>96308</f>
        <v>96308</v>
      </c>
      <c r="H46" s="21" t="s">
        <v>51</v>
      </c>
      <c r="I46" s="11">
        <f>G46</f>
        <v>96308</v>
      </c>
      <c r="J46" s="45" t="s">
        <v>55</v>
      </c>
      <c r="K46" s="53" t="s">
        <v>63</v>
      </c>
      <c r="L46" s="69"/>
      <c r="M46" s="55"/>
      <c r="N46" s="55"/>
      <c r="O46" s="54"/>
    </row>
    <row r="47" ht="18" customHeight="1" spans="1:15">
      <c r="A47" s="28" t="s">
        <v>22</v>
      </c>
      <c r="B47" s="27">
        <f>SUM(B15:B46)</f>
        <v>4014600.56</v>
      </c>
      <c r="C47" s="28"/>
      <c r="D47" s="38"/>
      <c r="E47" s="38"/>
      <c r="F47" s="29">
        <f>SUM(F15:F46)</f>
        <v>381388.44</v>
      </c>
      <c r="G47" s="39">
        <f>SUM(G15:G46)</f>
        <v>4395989</v>
      </c>
      <c r="H47" s="40"/>
      <c r="I47" s="28">
        <f>SUM(I15:I46)</f>
        <v>3718364</v>
      </c>
      <c r="J47" s="56"/>
      <c r="K47" s="38"/>
      <c r="L47" s="71"/>
      <c r="M47" s="45"/>
      <c r="N47" s="45"/>
      <c r="O47" s="30"/>
    </row>
    <row r="48" ht="18" customHeight="1" spans="1:14">
      <c r="A48" s="41" t="s">
        <v>64</v>
      </c>
      <c r="B48" s="41">
        <f>B12*0.96-B47</f>
        <v>327101.60513761</v>
      </c>
      <c r="C48" s="41"/>
      <c r="D48" s="42"/>
      <c r="E48" s="42"/>
      <c r="F48" s="43"/>
      <c r="G48" s="41">
        <f>G12-G47</f>
        <v>533652</v>
      </c>
      <c r="H48" s="20" t="s">
        <v>65</v>
      </c>
      <c r="I48" s="28">
        <f>I12-I47</f>
        <v>0</v>
      </c>
      <c r="J48" s="6"/>
      <c r="K48" s="57"/>
      <c r="M48" s="58"/>
      <c r="N48" s="58"/>
    </row>
    <row r="49" ht="18" customHeight="1" spans="1:9">
      <c r="A49" s="2" t="s">
        <v>66</v>
      </c>
      <c r="C49" s="2"/>
      <c r="G49" s="3">
        <f>G47-3584024</f>
        <v>811965</v>
      </c>
      <c r="I49" s="3">
        <f>I43+I39</f>
        <v>2275</v>
      </c>
    </row>
    <row r="50" ht="18" hidden="1" customHeight="1" spans="1:9">
      <c r="A50" s="20" t="s">
        <v>67</v>
      </c>
      <c r="B50" s="19" t="s">
        <v>68</v>
      </c>
      <c r="C50" s="30"/>
      <c r="D50" s="20" t="s">
        <v>67</v>
      </c>
      <c r="E50" s="18" t="s">
        <v>16</v>
      </c>
      <c r="F50" s="19" t="s">
        <v>68</v>
      </c>
      <c r="G50" s="3" t="s">
        <v>69</v>
      </c>
      <c r="H50" s="11" t="s">
        <v>70</v>
      </c>
      <c r="I50" s="59" t="s">
        <v>71</v>
      </c>
    </row>
    <row r="51" ht="18" hidden="1" customHeight="1" spans="1:9">
      <c r="A51" s="30" t="s">
        <v>72</v>
      </c>
      <c r="B51" s="33">
        <f>(B12-B47)*0.25</f>
        <v>127001.465504586</v>
      </c>
      <c r="C51" s="30"/>
      <c r="D51" s="44" t="s">
        <v>73</v>
      </c>
      <c r="E51" s="45" t="s">
        <v>74</v>
      </c>
      <c r="F51" s="46">
        <f>F12-F47</f>
        <v>-64805.9904587154</v>
      </c>
      <c r="G51" s="3">
        <v>25714.8983486239</v>
      </c>
      <c r="H51" s="11">
        <v>0</v>
      </c>
      <c r="I51" s="11">
        <f>F12-F47</f>
        <v>-64805.9904587154</v>
      </c>
    </row>
    <row r="52" ht="18" hidden="1" customHeight="1" spans="1:9">
      <c r="A52" s="30" t="s">
        <v>75</v>
      </c>
      <c r="B52" s="47" t="s">
        <v>76</v>
      </c>
      <c r="C52" s="30"/>
      <c r="D52" s="44" t="s">
        <v>77</v>
      </c>
      <c r="E52" s="13">
        <v>0.07</v>
      </c>
      <c r="F52" s="11">
        <f>F51*E52</f>
        <v>-4536.41933211008</v>
      </c>
      <c r="G52" s="3">
        <v>1285.74491743119</v>
      </c>
      <c r="H52" s="11">
        <v>0</v>
      </c>
      <c r="I52" s="11">
        <f>I51*E52</f>
        <v>-4536.41933211008</v>
      </c>
    </row>
    <row r="53" ht="18" hidden="1" customHeight="1" spans="1:9">
      <c r="A53" s="30" t="s">
        <v>60</v>
      </c>
      <c r="B53" s="47"/>
      <c r="C53" s="30"/>
      <c r="D53" s="44" t="s">
        <v>78</v>
      </c>
      <c r="E53" s="13">
        <v>0.03</v>
      </c>
      <c r="F53" s="11">
        <f>F51*E53</f>
        <v>-1944.17971376146</v>
      </c>
      <c r="G53" s="3">
        <v>771.446950458716</v>
      </c>
      <c r="H53" s="11">
        <v>0</v>
      </c>
      <c r="I53" s="11">
        <f>I51*E53</f>
        <v>-1944.17971376146</v>
      </c>
    </row>
    <row r="54" ht="18" hidden="1" customHeight="1" spans="1:9">
      <c r="A54" s="30"/>
      <c r="B54" s="11"/>
      <c r="C54" s="30"/>
      <c r="D54" s="44" t="s">
        <v>79</v>
      </c>
      <c r="E54" s="13">
        <v>0.02</v>
      </c>
      <c r="F54" s="11">
        <f>F51*E54</f>
        <v>-1296.11980917431</v>
      </c>
      <c r="G54" s="3">
        <v>514.297966972477</v>
      </c>
      <c r="H54" s="11">
        <v>0</v>
      </c>
      <c r="I54" s="11">
        <f>I51*E54</f>
        <v>-1296.11980917431</v>
      </c>
    </row>
    <row r="55" ht="18" customHeight="1" spans="1:9">
      <c r="A55" s="26" t="s">
        <v>80</v>
      </c>
      <c r="B55" s="27">
        <f>SUM(B51:B54)</f>
        <v>127001.465504586</v>
      </c>
      <c r="C55" s="30"/>
      <c r="D55" s="26" t="s">
        <v>80</v>
      </c>
      <c r="E55" s="26"/>
      <c r="F55" s="29">
        <f>SUM(F51:F54)</f>
        <v>-72582.7093137613</v>
      </c>
      <c r="G55" s="3">
        <v>28286.3881834862</v>
      </c>
      <c r="H55" s="11">
        <v>0</v>
      </c>
      <c r="I55" s="11">
        <f>SUM(I51:I54)</f>
        <v>-72582.7093137613</v>
      </c>
    </row>
    <row r="56" ht="18" customHeight="1" spans="3:8">
      <c r="C56" s="2"/>
      <c r="D56" s="28" t="s">
        <v>22</v>
      </c>
      <c r="E56" s="28"/>
      <c r="F56" s="28">
        <f>F55</f>
        <v>-72582.7093137613</v>
      </c>
      <c r="G56" s="3"/>
      <c r="H56" s="11"/>
    </row>
    <row r="57" ht="18" customHeight="1" spans="3:8">
      <c r="C57" s="2"/>
      <c r="G57" s="48" t="s">
        <v>81</v>
      </c>
      <c r="H57" s="11">
        <f>B7*0.0006</f>
        <v>2046.80587155963</v>
      </c>
    </row>
    <row r="58" ht="18" customHeight="1" spans="3:8">
      <c r="C58" s="2"/>
      <c r="H58" s="11">
        <f>G7*0.01</f>
        <v>37183.64</v>
      </c>
    </row>
    <row r="59" ht="18" customHeight="1" spans="3:8">
      <c r="C59" s="2"/>
      <c r="H59" s="11">
        <f>B48*0.25</f>
        <v>81775.4012844025</v>
      </c>
    </row>
    <row r="60" ht="18" customHeight="1" spans="3:3">
      <c r="C60" s="2"/>
    </row>
    <row r="61" ht="18" customHeight="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  <row r="74" spans="3:3">
      <c r="C74" s="2"/>
    </row>
    <row r="75" spans="3:3">
      <c r="C75" s="2"/>
    </row>
    <row r="76" spans="3:3">
      <c r="C76" s="2"/>
    </row>
    <row r="77" spans="3:3">
      <c r="C77" s="2"/>
    </row>
  </sheetData>
  <autoFilter ref="A14:O59">
    <filterColumn colId="4">
      <customFilters>
        <customFilter operator="equal" val=""/>
        <customFilter operator="equal" val="9%"/>
      </customFilters>
    </filterColumn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 verticalDpi="18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4"/>
  <sheetViews>
    <sheetView topLeftCell="A7" workbookViewId="0">
      <selection activeCell="D44" sqref="D43:D44"/>
    </sheetView>
  </sheetViews>
  <sheetFormatPr defaultColWidth="9" defaultRowHeight="11.25"/>
  <cols>
    <col min="1" max="1" width="10.775" style="2" customWidth="1"/>
    <col min="2" max="2" width="13.1083333333333" style="3" customWidth="1"/>
    <col min="3" max="3" width="6" style="4" customWidth="1"/>
    <col min="4" max="4" width="13.3333333333333" style="4" customWidth="1"/>
    <col min="5" max="5" width="6" style="4" customWidth="1"/>
    <col min="6" max="6" width="13.1083333333333" style="3" customWidth="1"/>
    <col min="7" max="7" width="14.1083333333333" style="3" customWidth="1"/>
    <col min="8" max="8" width="9.66666666666667" style="4" customWidth="1"/>
    <col min="9" max="9" width="13.8833333333333" style="3" customWidth="1"/>
    <col min="10" max="10" width="10.1083333333333" style="5" customWidth="1"/>
    <col min="11" max="11" width="31.4416666666667" style="6" customWidth="1"/>
    <col min="12" max="12" width="12.775" style="6" customWidth="1"/>
    <col min="13" max="13" width="6" style="6" customWidth="1"/>
    <col min="14" max="14" width="5.66666666666667" style="6" customWidth="1"/>
    <col min="15" max="16384" width="9" style="6"/>
  </cols>
  <sheetData>
    <row r="1" ht="21.9" customHeight="1" spans="1:12">
      <c r="A1" s="7" t="s">
        <v>82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10">
        <v>43720</v>
      </c>
      <c r="C2" s="11" t="s">
        <v>2</v>
      </c>
      <c r="D2" s="12">
        <v>4815367</v>
      </c>
      <c r="E2" s="13" t="s">
        <v>3</v>
      </c>
      <c r="F2" s="11" t="s">
        <v>4</v>
      </c>
      <c r="G2" s="14" t="s">
        <v>5</v>
      </c>
      <c r="H2" s="15" t="s">
        <v>6</v>
      </c>
      <c r="I2" s="49"/>
      <c r="J2" s="50"/>
      <c r="K2" s="17"/>
      <c r="L2" s="17"/>
    </row>
    <row r="3" ht="18" customHeight="1" spans="1:12">
      <c r="A3" s="9" t="s">
        <v>7</v>
      </c>
      <c r="B3" s="16"/>
      <c r="C3" s="11" t="s">
        <v>8</v>
      </c>
      <c r="D3" s="11"/>
      <c r="H3" s="17"/>
      <c r="I3" s="51"/>
      <c r="J3" s="17"/>
      <c r="K3" s="51"/>
      <c r="L3" s="17"/>
    </row>
    <row r="4" ht="18" customHeight="1" spans="1:12">
      <c r="A4" s="2" t="s">
        <v>9</v>
      </c>
      <c r="H4" s="17"/>
      <c r="I4" s="51"/>
      <c r="J4" s="17"/>
      <c r="K4" s="17"/>
      <c r="L4" s="17"/>
    </row>
    <row r="5" ht="18" customHeight="1" spans="1:10">
      <c r="A5" s="18" t="s">
        <v>10</v>
      </c>
      <c r="B5" s="19" t="s">
        <v>11</v>
      </c>
      <c r="C5" s="18" t="s">
        <v>12</v>
      </c>
      <c r="D5" s="18"/>
      <c r="E5" s="18" t="s">
        <v>13</v>
      </c>
      <c r="F5" s="19"/>
      <c r="G5" s="19" t="s">
        <v>14</v>
      </c>
      <c r="H5" s="20" t="s">
        <v>15</v>
      </c>
      <c r="I5" s="19"/>
      <c r="J5" s="20"/>
    </row>
    <row r="6" ht="18" customHeight="1" spans="1:10">
      <c r="A6" s="18"/>
      <c r="B6" s="19"/>
      <c r="C6" s="18" t="s">
        <v>16</v>
      </c>
      <c r="D6" s="18" t="s">
        <v>17</v>
      </c>
      <c r="E6" s="18" t="s">
        <v>16</v>
      </c>
      <c r="F6" s="19" t="s">
        <v>17</v>
      </c>
      <c r="G6" s="19"/>
      <c r="H6" s="20" t="s">
        <v>18</v>
      </c>
      <c r="I6" s="19" t="s">
        <v>19</v>
      </c>
      <c r="J6" s="20" t="s">
        <v>20</v>
      </c>
    </row>
    <row r="7" ht="18" customHeight="1" spans="1:10">
      <c r="A7" s="21"/>
      <c r="B7" s="11">
        <f>G7/(1+C7+E7)</f>
        <v>0</v>
      </c>
      <c r="C7" s="22">
        <v>0.02</v>
      </c>
      <c r="D7" s="23">
        <f>G7/(1+E7+C7)*C7</f>
        <v>0</v>
      </c>
      <c r="E7" s="22"/>
      <c r="F7" s="11">
        <f>G7/(1+C7+E7)*E7</f>
        <v>0</v>
      </c>
      <c r="G7" s="24"/>
      <c r="H7" s="21"/>
      <c r="I7" s="11"/>
      <c r="J7" s="45"/>
    </row>
    <row r="8" ht="18" customHeight="1" spans="1:10">
      <c r="A8" s="21">
        <v>43849</v>
      </c>
      <c r="B8" s="11">
        <f t="shared" ref="B8:B10" si="0">G8/(1+C8+E8)</f>
        <v>3411343.11926605</v>
      </c>
      <c r="C8" s="25">
        <v>0.02</v>
      </c>
      <c r="D8" s="23">
        <f t="shared" ref="D8:D10" si="1">G8/(1+E8+C8)*C8</f>
        <v>68226.8623853211</v>
      </c>
      <c r="E8" s="25">
        <v>0.07</v>
      </c>
      <c r="F8" s="11">
        <f t="shared" ref="F8:F10" si="2">G8/(1+C8+E8)*E8</f>
        <v>238794.018348624</v>
      </c>
      <c r="G8" s="24">
        <v>3718364</v>
      </c>
      <c r="H8" s="21">
        <v>43852</v>
      </c>
      <c r="I8" s="11">
        <v>2000000</v>
      </c>
      <c r="J8" s="45" t="s">
        <v>21</v>
      </c>
    </row>
    <row r="9" ht="18" customHeight="1" spans="1:10">
      <c r="A9" s="21">
        <v>43909</v>
      </c>
      <c r="B9" s="11">
        <f t="shared" si="0"/>
        <v>379038.532110092</v>
      </c>
      <c r="C9" s="22">
        <v>0.02</v>
      </c>
      <c r="D9" s="23">
        <f t="shared" si="1"/>
        <v>7580.77064220183</v>
      </c>
      <c r="E9" s="22">
        <v>0.07</v>
      </c>
      <c r="F9" s="11">
        <f t="shared" si="2"/>
        <v>26532.6972477064</v>
      </c>
      <c r="G9" s="24">
        <v>413152</v>
      </c>
      <c r="H9" s="21"/>
      <c r="I9" s="11"/>
      <c r="J9" s="45"/>
    </row>
    <row r="10" ht="18" customHeight="1" spans="1:10">
      <c r="A10" s="21"/>
      <c r="B10" s="11">
        <f t="shared" si="0"/>
        <v>0</v>
      </c>
      <c r="C10" s="22">
        <v>0.02</v>
      </c>
      <c r="D10" s="23">
        <f t="shared" si="1"/>
        <v>0</v>
      </c>
      <c r="E10" s="22"/>
      <c r="F10" s="11">
        <f t="shared" si="2"/>
        <v>0</v>
      </c>
      <c r="G10" s="24"/>
      <c r="H10" s="21"/>
      <c r="I10" s="11"/>
      <c r="J10" s="45"/>
    </row>
    <row r="11" ht="18" customHeight="1" spans="1:10">
      <c r="A11" s="26" t="s">
        <v>22</v>
      </c>
      <c r="B11" s="27">
        <f>SUM(B7:B10)</f>
        <v>3790381.65137615</v>
      </c>
      <c r="C11" s="28"/>
      <c r="D11" s="28">
        <f t="shared" ref="D11:G11" si="3">SUM(D7:D10)</f>
        <v>75807.6330275229</v>
      </c>
      <c r="E11" s="28"/>
      <c r="F11" s="29">
        <f t="shared" si="3"/>
        <v>265326.71559633</v>
      </c>
      <c r="G11" s="28">
        <f t="shared" si="3"/>
        <v>4131516</v>
      </c>
      <c r="H11" s="30"/>
      <c r="I11" s="28">
        <f>SUM(I7:I10)</f>
        <v>2000000</v>
      </c>
      <c r="J11" s="30"/>
    </row>
    <row r="12" ht="18" customHeight="1" spans="1:12">
      <c r="A12" s="2" t="s">
        <v>23</v>
      </c>
      <c r="J12" s="4"/>
      <c r="K12" s="4"/>
      <c r="L12" s="5"/>
    </row>
    <row r="13" ht="18" customHeight="1" spans="1:15">
      <c r="A13" s="31" t="s">
        <v>24</v>
      </c>
      <c r="B13" s="19" t="s">
        <v>25</v>
      </c>
      <c r="C13" s="18" t="s">
        <v>26</v>
      </c>
      <c r="D13" s="18" t="s">
        <v>27</v>
      </c>
      <c r="E13" s="18" t="s">
        <v>16</v>
      </c>
      <c r="F13" s="19" t="s">
        <v>28</v>
      </c>
      <c r="G13" s="19" t="s">
        <v>14</v>
      </c>
      <c r="H13" s="18" t="s">
        <v>29</v>
      </c>
      <c r="I13" s="19" t="s">
        <v>30</v>
      </c>
      <c r="J13" s="18" t="s">
        <v>20</v>
      </c>
      <c r="K13" s="52" t="s">
        <v>31</v>
      </c>
      <c r="L13" s="20" t="s">
        <v>32</v>
      </c>
      <c r="M13" s="20" t="s">
        <v>33</v>
      </c>
      <c r="N13" s="20" t="s">
        <v>34</v>
      </c>
      <c r="O13" s="20" t="s">
        <v>35</v>
      </c>
    </row>
    <row r="14" s="1" customFormat="1" ht="18" customHeight="1" spans="1:15">
      <c r="A14" s="32">
        <v>43850</v>
      </c>
      <c r="B14" s="33">
        <f t="shared" ref="B14:B21" si="4">ROUND(G14/(1+E14),2)</f>
        <v>532683.49</v>
      </c>
      <c r="C14" s="34"/>
      <c r="D14" s="35" t="s">
        <v>36</v>
      </c>
      <c r="E14" s="36">
        <v>0.09</v>
      </c>
      <c r="F14" s="33">
        <f t="shared" ref="F14:F21" si="5">ROUND(G14/(1+E14)*E14,2)</f>
        <v>47941.51</v>
      </c>
      <c r="G14" s="24">
        <v>580625</v>
      </c>
      <c r="H14" s="21">
        <v>43853</v>
      </c>
      <c r="I14" s="11">
        <v>580625</v>
      </c>
      <c r="J14" s="45" t="s">
        <v>21</v>
      </c>
      <c r="K14" s="53" t="s">
        <v>37</v>
      </c>
      <c r="L14" s="54" t="s">
        <v>38</v>
      </c>
      <c r="M14" s="55"/>
      <c r="N14" s="55"/>
      <c r="O14" s="54"/>
    </row>
    <row r="15" s="1" customFormat="1" ht="18" customHeight="1" spans="1:15">
      <c r="A15" s="32">
        <v>43850</v>
      </c>
      <c r="B15" s="33">
        <f t="shared" si="4"/>
        <v>133519.74</v>
      </c>
      <c r="C15" s="34">
        <v>2</v>
      </c>
      <c r="D15" s="35" t="s">
        <v>36</v>
      </c>
      <c r="E15" s="36">
        <v>0.09</v>
      </c>
      <c r="F15" s="33">
        <f t="shared" si="5"/>
        <v>12016.78</v>
      </c>
      <c r="G15" s="24">
        <f>100000+45536.52</f>
        <v>145536.52</v>
      </c>
      <c r="H15" s="21">
        <v>43853</v>
      </c>
      <c r="I15" s="11">
        <v>145536.52</v>
      </c>
      <c r="J15" s="45" t="s">
        <v>21</v>
      </c>
      <c r="K15" s="53" t="s">
        <v>40</v>
      </c>
      <c r="L15" s="54" t="s">
        <v>38</v>
      </c>
      <c r="M15" s="55"/>
      <c r="N15" s="55"/>
      <c r="O15" s="54"/>
    </row>
    <row r="16" s="1" customFormat="1" ht="18" customHeight="1" spans="1:15">
      <c r="A16" s="32">
        <v>43850</v>
      </c>
      <c r="B16" s="33">
        <f t="shared" si="4"/>
        <v>222018.35</v>
      </c>
      <c r="C16" s="34"/>
      <c r="D16" s="35" t="s">
        <v>36</v>
      </c>
      <c r="E16" s="36">
        <v>0.09</v>
      </c>
      <c r="F16" s="33">
        <f t="shared" si="5"/>
        <v>19981.65</v>
      </c>
      <c r="G16" s="24">
        <f>100000*2+42000</f>
        <v>242000</v>
      </c>
      <c r="H16" s="21">
        <v>43853</v>
      </c>
      <c r="I16" s="11">
        <v>120000</v>
      </c>
      <c r="J16" s="45" t="s">
        <v>21</v>
      </c>
      <c r="K16" s="53" t="s">
        <v>40</v>
      </c>
      <c r="L16" s="54" t="s">
        <v>41</v>
      </c>
      <c r="M16" s="55"/>
      <c r="N16" s="55"/>
      <c r="O16" s="54"/>
    </row>
    <row r="17" s="1" customFormat="1" ht="18" customHeight="1" spans="1:15">
      <c r="A17" s="32">
        <v>43850</v>
      </c>
      <c r="B17" s="33">
        <f t="shared" si="4"/>
        <v>1834862.39</v>
      </c>
      <c r="C17" s="34"/>
      <c r="D17" s="35" t="s">
        <v>36</v>
      </c>
      <c r="E17" s="36">
        <v>0.09</v>
      </c>
      <c r="F17" s="33">
        <f t="shared" si="5"/>
        <v>165137.61</v>
      </c>
      <c r="G17" s="24">
        <f>1000000*2</f>
        <v>2000000</v>
      </c>
      <c r="H17" s="21">
        <v>43853</v>
      </c>
      <c r="I17" s="11">
        <v>743499.48</v>
      </c>
      <c r="J17" s="45" t="s">
        <v>21</v>
      </c>
      <c r="K17" s="53" t="s">
        <v>42</v>
      </c>
      <c r="L17" s="54" t="s">
        <v>38</v>
      </c>
      <c r="M17" s="55"/>
      <c r="N17" s="55"/>
      <c r="O17" s="54"/>
    </row>
    <row r="18" s="1" customFormat="1" ht="18" customHeight="1" spans="1:15">
      <c r="A18" s="32"/>
      <c r="B18" s="33">
        <f t="shared" si="4"/>
        <v>0</v>
      </c>
      <c r="C18" s="34"/>
      <c r="D18" s="35"/>
      <c r="E18" s="36"/>
      <c r="F18" s="33">
        <f t="shared" si="5"/>
        <v>0</v>
      </c>
      <c r="G18" s="24"/>
      <c r="H18" s="21"/>
      <c r="I18" s="11"/>
      <c r="J18" s="45"/>
      <c r="K18" s="53"/>
      <c r="L18" s="54"/>
      <c r="M18" s="55"/>
      <c r="N18" s="55"/>
      <c r="O18" s="54"/>
    </row>
    <row r="19" s="1" customFormat="1" ht="18" customHeight="1" spans="1:15">
      <c r="A19" s="32"/>
      <c r="B19" s="33">
        <f t="shared" si="4"/>
        <v>0</v>
      </c>
      <c r="C19" s="34"/>
      <c r="D19" s="35"/>
      <c r="E19" s="37"/>
      <c r="F19" s="33">
        <f t="shared" si="5"/>
        <v>0</v>
      </c>
      <c r="G19" s="24"/>
      <c r="H19" s="21"/>
      <c r="I19" s="11"/>
      <c r="J19" s="45"/>
      <c r="K19" s="53"/>
      <c r="L19" s="54"/>
      <c r="M19" s="55"/>
      <c r="N19" s="55"/>
      <c r="O19" s="54"/>
    </row>
    <row r="20" s="1" customFormat="1" ht="18" customHeight="1" spans="1:15">
      <c r="A20" s="32"/>
      <c r="B20" s="33">
        <f t="shared" si="4"/>
        <v>0</v>
      </c>
      <c r="C20" s="34"/>
      <c r="D20" s="35"/>
      <c r="E20" s="37"/>
      <c r="F20" s="33">
        <f t="shared" si="5"/>
        <v>0</v>
      </c>
      <c r="G20" s="24"/>
      <c r="H20" s="21"/>
      <c r="I20" s="11"/>
      <c r="J20" s="45"/>
      <c r="K20" s="53"/>
      <c r="L20" s="54"/>
      <c r="M20" s="55"/>
      <c r="N20" s="55"/>
      <c r="O20" s="54"/>
    </row>
    <row r="21" s="1" customFormat="1" ht="18" customHeight="1" spans="1:15">
      <c r="A21" s="32"/>
      <c r="B21" s="33">
        <f t="shared" si="4"/>
        <v>0</v>
      </c>
      <c r="C21" s="34"/>
      <c r="D21" s="35"/>
      <c r="E21" s="37"/>
      <c r="F21" s="33">
        <f t="shared" si="5"/>
        <v>0</v>
      </c>
      <c r="G21" s="24"/>
      <c r="H21" s="21"/>
      <c r="I21" s="11"/>
      <c r="J21" s="45"/>
      <c r="K21" s="53"/>
      <c r="L21" s="54"/>
      <c r="M21" s="55"/>
      <c r="N21" s="55"/>
      <c r="O21" s="54"/>
    </row>
    <row r="22" s="1" customFormat="1" ht="18" customHeight="1" spans="1:15">
      <c r="A22" s="32"/>
      <c r="B22" s="33"/>
      <c r="C22" s="34"/>
      <c r="D22" s="35"/>
      <c r="E22" s="37"/>
      <c r="F22" s="33"/>
      <c r="G22" s="24"/>
      <c r="H22" s="21"/>
      <c r="I22" s="11"/>
      <c r="J22" s="45"/>
      <c r="K22" s="53"/>
      <c r="L22" s="54"/>
      <c r="M22" s="55"/>
      <c r="N22" s="55"/>
      <c r="O22" s="54"/>
    </row>
    <row r="23" s="1" customFormat="1" ht="18" customHeight="1" spans="1:15">
      <c r="A23" s="32"/>
      <c r="B23" s="33"/>
      <c r="C23" s="34"/>
      <c r="D23" s="35"/>
      <c r="E23" s="37"/>
      <c r="F23" s="33"/>
      <c r="G23" s="24"/>
      <c r="H23" s="21"/>
      <c r="I23" s="11"/>
      <c r="J23" s="45"/>
      <c r="K23" s="53"/>
      <c r="L23" s="54"/>
      <c r="M23" s="55"/>
      <c r="N23" s="55"/>
      <c r="O23" s="54"/>
    </row>
    <row r="24" s="1" customFormat="1" ht="18" customHeight="1" spans="1:15">
      <c r="A24" s="32"/>
      <c r="B24" s="33"/>
      <c r="C24" s="34"/>
      <c r="D24" s="35"/>
      <c r="E24" s="37"/>
      <c r="F24" s="33"/>
      <c r="G24" s="24"/>
      <c r="H24" s="21"/>
      <c r="I24" s="11"/>
      <c r="J24" s="45"/>
      <c r="K24" s="53"/>
      <c r="L24" s="54"/>
      <c r="M24" s="55"/>
      <c r="N24" s="55"/>
      <c r="O24" s="54"/>
    </row>
    <row r="25" s="1" customFormat="1" ht="18" customHeight="1" spans="1:15">
      <c r="A25" s="32"/>
      <c r="B25" s="33">
        <f>ROUND(G25/(1+E25),2)</f>
        <v>0</v>
      </c>
      <c r="C25" s="34"/>
      <c r="D25" s="35"/>
      <c r="E25" s="37"/>
      <c r="F25" s="33">
        <f>ROUND(G25/(1+E25)*E25,2)</f>
        <v>0</v>
      </c>
      <c r="G25" s="24"/>
      <c r="H25" s="21" t="s">
        <v>51</v>
      </c>
      <c r="I25" s="11">
        <v>300</v>
      </c>
      <c r="J25" s="45" t="s">
        <v>55</v>
      </c>
      <c r="K25" s="53" t="s">
        <v>59</v>
      </c>
      <c r="L25" s="54"/>
      <c r="M25" s="55"/>
      <c r="N25" s="55"/>
      <c r="O25" s="54"/>
    </row>
    <row r="26" s="1" customFormat="1" ht="18" customHeight="1" spans="1:15">
      <c r="A26" s="32"/>
      <c r="B26" s="33">
        <f>ROUND(G26/(1+E26),2)</f>
        <v>0</v>
      </c>
      <c r="C26" s="34"/>
      <c r="D26" s="35"/>
      <c r="E26" s="37"/>
      <c r="F26" s="33">
        <f>ROUND(G26/(1+E26)*E26,2)</f>
        <v>0</v>
      </c>
      <c r="G26" s="24"/>
      <c r="H26" s="21" t="s">
        <v>51</v>
      </c>
      <c r="I26" s="11">
        <v>122000</v>
      </c>
      <c r="J26" s="45" t="s">
        <v>52</v>
      </c>
      <c r="K26" s="53"/>
      <c r="L26" s="54"/>
      <c r="M26" s="55"/>
      <c r="N26" s="55"/>
      <c r="O26" s="54"/>
    </row>
    <row r="27" s="1" customFormat="1" ht="18" customHeight="1" spans="1:15">
      <c r="A27" s="32"/>
      <c r="B27" s="33">
        <f>ROUND(G27/(1+E27),2)</f>
        <v>0</v>
      </c>
      <c r="C27" s="34"/>
      <c r="D27" s="35"/>
      <c r="E27" s="37"/>
      <c r="F27" s="33">
        <f>ROUND(G27/(1+E27)*E27,2)</f>
        <v>0</v>
      </c>
      <c r="G27" s="24"/>
      <c r="H27" s="21" t="s">
        <v>51</v>
      </c>
      <c r="I27" s="11">
        <v>140000</v>
      </c>
      <c r="J27" s="45" t="s">
        <v>52</v>
      </c>
      <c r="K27" s="53" t="s">
        <v>54</v>
      </c>
      <c r="L27" s="54"/>
      <c r="M27" s="55"/>
      <c r="N27" s="55"/>
      <c r="O27" s="54"/>
    </row>
    <row r="28" s="1" customFormat="1" ht="18" customHeight="1" spans="1:15">
      <c r="A28" s="32"/>
      <c r="B28" s="33"/>
      <c r="C28" s="34"/>
      <c r="D28" s="35"/>
      <c r="E28" s="37"/>
      <c r="F28" s="33"/>
      <c r="G28" s="24"/>
      <c r="H28" s="21" t="s">
        <v>51</v>
      </c>
      <c r="I28" s="11">
        <v>37184</v>
      </c>
      <c r="J28" s="45" t="s">
        <v>55</v>
      </c>
      <c r="K28" s="53" t="s">
        <v>58</v>
      </c>
      <c r="L28" s="54"/>
      <c r="M28" s="55"/>
      <c r="N28" s="55"/>
      <c r="O28" s="54"/>
    </row>
    <row r="29" s="1" customFormat="1" ht="18" customHeight="1" spans="1:15">
      <c r="A29" s="32"/>
      <c r="B29" s="33">
        <f>ROUND(G29/(1+E29),2)</f>
        <v>0</v>
      </c>
      <c r="C29" s="34"/>
      <c r="D29" s="35"/>
      <c r="E29" s="37"/>
      <c r="F29" s="33">
        <f>ROUND(G29/(1+E29)*E29,2)</f>
        <v>0</v>
      </c>
      <c r="G29" s="24"/>
      <c r="H29" s="21" t="s">
        <v>51</v>
      </c>
      <c r="I29" s="11">
        <v>2047</v>
      </c>
      <c r="J29" s="45" t="s">
        <v>55</v>
      </c>
      <c r="K29" s="53" t="s">
        <v>60</v>
      </c>
      <c r="L29" s="54"/>
      <c r="M29" s="55"/>
      <c r="N29" s="55"/>
      <c r="O29" s="54"/>
    </row>
    <row r="30" s="1" customFormat="1" ht="18" customHeight="1" spans="1:15">
      <c r="A30" s="32"/>
      <c r="B30" s="33">
        <f>ROUND(G30/(1+E30),2)</f>
        <v>0</v>
      </c>
      <c r="C30" s="34"/>
      <c r="D30" s="35"/>
      <c r="E30" s="37"/>
      <c r="F30" s="33">
        <f>ROUND(G30/(1+E30)*E30,2)</f>
        <v>0</v>
      </c>
      <c r="G30" s="24"/>
      <c r="H30" s="21" t="s">
        <v>51</v>
      </c>
      <c r="I30" s="11">
        <v>500</v>
      </c>
      <c r="J30" s="45" t="s">
        <v>55</v>
      </c>
      <c r="K30" s="53" t="s">
        <v>61</v>
      </c>
      <c r="L30" s="54"/>
      <c r="M30" s="55"/>
      <c r="N30" s="55"/>
      <c r="O30" s="54"/>
    </row>
    <row r="31" s="1" customFormat="1" ht="18" customHeight="1" spans="1:15">
      <c r="A31" s="32"/>
      <c r="B31" s="33">
        <f>ROUND(G31/(1+E31),2)</f>
        <v>0</v>
      </c>
      <c r="C31" s="34"/>
      <c r="D31" s="35"/>
      <c r="E31" s="37"/>
      <c r="F31" s="33">
        <f>ROUND(G31/(1+E31)*E31,2)</f>
        <v>0</v>
      </c>
      <c r="G31" s="24"/>
      <c r="H31" s="21" t="s">
        <v>51</v>
      </c>
      <c r="I31" s="11">
        <v>12000</v>
      </c>
      <c r="J31" s="45" t="s">
        <v>55</v>
      </c>
      <c r="K31" s="53" t="s">
        <v>62</v>
      </c>
      <c r="L31" s="54"/>
      <c r="M31" s="55"/>
      <c r="N31" s="55"/>
      <c r="O31" s="54"/>
    </row>
    <row r="32" s="1" customFormat="1" ht="18" customHeight="1" spans="1:15">
      <c r="A32" s="32"/>
      <c r="B32" s="33">
        <f>ROUND(G32/(1+E32),2)</f>
        <v>96308</v>
      </c>
      <c r="C32" s="34"/>
      <c r="D32" s="35"/>
      <c r="E32" s="37"/>
      <c r="F32" s="33">
        <f>ROUND(G32/(1+E32)*E32,2)</f>
        <v>0</v>
      </c>
      <c r="G32" s="24">
        <f>96308</f>
        <v>96308</v>
      </c>
      <c r="H32" s="21" t="s">
        <v>51</v>
      </c>
      <c r="I32" s="11">
        <f>G32</f>
        <v>96308</v>
      </c>
      <c r="J32" s="45" t="s">
        <v>55</v>
      </c>
      <c r="K32" s="53" t="s">
        <v>83</v>
      </c>
      <c r="L32" s="54"/>
      <c r="M32" s="55"/>
      <c r="N32" s="55"/>
      <c r="O32" s="54"/>
    </row>
    <row r="33" s="1" customFormat="1" ht="18" customHeight="1" spans="1:15">
      <c r="A33" s="32"/>
      <c r="B33" s="33">
        <f>ROUND(G33/(1+E33),2)</f>
        <v>0</v>
      </c>
      <c r="C33" s="34"/>
      <c r="D33" s="35"/>
      <c r="E33" s="37"/>
      <c r="F33" s="33">
        <f>ROUND(G33/(1+E33)*E33,2)</f>
        <v>0</v>
      </c>
      <c r="G33" s="24"/>
      <c r="H33" s="21"/>
      <c r="I33" s="11"/>
      <c r="J33" s="45"/>
      <c r="K33" s="53"/>
      <c r="L33" s="54"/>
      <c r="M33" s="55"/>
      <c r="N33" s="55"/>
      <c r="O33" s="54"/>
    </row>
    <row r="34" ht="18" customHeight="1" spans="1:15">
      <c r="A34" s="28" t="s">
        <v>22</v>
      </c>
      <c r="B34" s="27">
        <f>SUM(B14:B33)</f>
        <v>2819391.97</v>
      </c>
      <c r="C34" s="28"/>
      <c r="D34" s="38"/>
      <c r="E34" s="38"/>
      <c r="F34" s="29">
        <f>SUM(F14:F33)</f>
        <v>245077.55</v>
      </c>
      <c r="G34" s="39">
        <f>SUM(G14:G33)</f>
        <v>3064469.52</v>
      </c>
      <c r="H34" s="40"/>
      <c r="I34" s="28">
        <f>SUM(I14:I33)</f>
        <v>2000000</v>
      </c>
      <c r="J34" s="56"/>
      <c r="K34" s="38"/>
      <c r="L34" s="30"/>
      <c r="M34" s="45"/>
      <c r="N34" s="45"/>
      <c r="O34" s="30"/>
    </row>
    <row r="35" ht="18" customHeight="1" spans="1:14">
      <c r="A35" s="41" t="s">
        <v>64</v>
      </c>
      <c r="B35" s="41">
        <f>B11*0.96-B34</f>
        <v>819374.415321101</v>
      </c>
      <c r="C35" s="41"/>
      <c r="D35" s="42"/>
      <c r="E35" s="42"/>
      <c r="F35" s="43"/>
      <c r="G35" s="41">
        <f>G11-G34</f>
        <v>1067046.48</v>
      </c>
      <c r="H35" s="20" t="s">
        <v>65</v>
      </c>
      <c r="I35" s="28">
        <f>I11-I34</f>
        <v>0</v>
      </c>
      <c r="J35" s="6"/>
      <c r="K35" s="57"/>
      <c r="M35" s="58"/>
      <c r="N35" s="58"/>
    </row>
    <row r="36" ht="18" customHeight="1" spans="1:3">
      <c r="A36" s="2" t="s">
        <v>66</v>
      </c>
      <c r="C36" s="2"/>
    </row>
    <row r="37" ht="18" customHeight="1" spans="1:9">
      <c r="A37" s="20" t="s">
        <v>67</v>
      </c>
      <c r="B37" s="19" t="s">
        <v>68</v>
      </c>
      <c r="C37" s="30"/>
      <c r="D37" s="20" t="s">
        <v>67</v>
      </c>
      <c r="E37" s="18" t="s">
        <v>16</v>
      </c>
      <c r="F37" s="19" t="s">
        <v>68</v>
      </c>
      <c r="G37" s="3" t="s">
        <v>69</v>
      </c>
      <c r="H37" s="11" t="s">
        <v>70</v>
      </c>
      <c r="I37" s="59" t="s">
        <v>71</v>
      </c>
    </row>
    <row r="38" ht="18" customHeight="1" spans="1:9">
      <c r="A38" s="30" t="s">
        <v>72</v>
      </c>
      <c r="B38" s="33">
        <f>(B11-B34)*0.25</f>
        <v>242747.420344037</v>
      </c>
      <c r="C38" s="30"/>
      <c r="D38" s="44" t="s">
        <v>73</v>
      </c>
      <c r="E38" s="45" t="s">
        <v>74</v>
      </c>
      <c r="F38" s="46">
        <f>F11-F34</f>
        <v>20249.1655963303</v>
      </c>
      <c r="G38" s="3">
        <v>25714.8983486239</v>
      </c>
      <c r="H38" s="11">
        <v>0</v>
      </c>
      <c r="I38" s="11">
        <v>26532.6972477064</v>
      </c>
    </row>
    <row r="39" ht="18" customHeight="1" spans="1:9">
      <c r="A39" s="30" t="s">
        <v>75</v>
      </c>
      <c r="B39" s="47" t="s">
        <v>76</v>
      </c>
      <c r="C39" s="30"/>
      <c r="D39" s="44" t="s">
        <v>77</v>
      </c>
      <c r="E39" s="13">
        <v>0.05</v>
      </c>
      <c r="F39" s="11">
        <f>F38*E39</f>
        <v>1012.45827981652</v>
      </c>
      <c r="G39" s="3">
        <v>1285.74491743119</v>
      </c>
      <c r="H39" s="11">
        <v>0</v>
      </c>
      <c r="I39" s="11">
        <f>I38*E39</f>
        <v>1326.63486238532</v>
      </c>
    </row>
    <row r="40" ht="18" customHeight="1" spans="1:9">
      <c r="A40" s="30" t="s">
        <v>60</v>
      </c>
      <c r="B40" s="47"/>
      <c r="C40" s="30"/>
      <c r="D40" s="44" t="s">
        <v>78</v>
      </c>
      <c r="E40" s="13">
        <v>0.03</v>
      </c>
      <c r="F40" s="11">
        <f>F38*E40</f>
        <v>607.474967889909</v>
      </c>
      <c r="G40" s="3">
        <v>771.446950458716</v>
      </c>
      <c r="H40" s="11">
        <v>0</v>
      </c>
      <c r="I40" s="11">
        <f>I38*E40</f>
        <v>795.980917431192</v>
      </c>
    </row>
    <row r="41" ht="18" customHeight="1" spans="1:9">
      <c r="A41" s="30"/>
      <c r="B41" s="11"/>
      <c r="C41" s="30"/>
      <c r="D41" s="44" t="s">
        <v>79</v>
      </c>
      <c r="E41" s="13">
        <v>0.02</v>
      </c>
      <c r="F41" s="11">
        <f>F38*E41</f>
        <v>404.983311926606</v>
      </c>
      <c r="G41" s="3">
        <v>514.297966972477</v>
      </c>
      <c r="H41" s="11">
        <v>0</v>
      </c>
      <c r="I41" s="11">
        <f>I38*E41</f>
        <v>530.653944954128</v>
      </c>
    </row>
    <row r="42" ht="18" customHeight="1" spans="1:9">
      <c r="A42" s="26" t="s">
        <v>80</v>
      </c>
      <c r="B42" s="27">
        <f>SUM(B38:B41)</f>
        <v>242747.420344037</v>
      </c>
      <c r="C42" s="30"/>
      <c r="D42" s="26" t="s">
        <v>80</v>
      </c>
      <c r="E42" s="26"/>
      <c r="F42" s="29">
        <f>SUM(F38:F41)</f>
        <v>22274.0821559633</v>
      </c>
      <c r="G42" s="3">
        <v>28286.3881834862</v>
      </c>
      <c r="H42" s="11">
        <v>0</v>
      </c>
      <c r="I42" s="11">
        <f>SUM(I38:I41)</f>
        <v>29185.966972477</v>
      </c>
    </row>
    <row r="43" ht="18" customHeight="1" spans="3:8">
      <c r="C43" s="2"/>
      <c r="D43" s="28" t="s">
        <v>22</v>
      </c>
      <c r="E43" s="28"/>
      <c r="F43" s="28">
        <f>F42</f>
        <v>22274.0821559633</v>
      </c>
      <c r="G43" s="3"/>
      <c r="H43" s="11"/>
    </row>
    <row r="44" ht="18" customHeight="1" spans="3:8">
      <c r="C44" s="2"/>
      <c r="G44" s="48" t="s">
        <v>81</v>
      </c>
      <c r="H44" s="11">
        <f>B8*0.0006</f>
        <v>2046.80587155963</v>
      </c>
    </row>
    <row r="45" ht="18" customHeight="1" spans="3:8">
      <c r="C45" s="2"/>
      <c r="H45" s="11">
        <f>G8*0.01</f>
        <v>37183.64</v>
      </c>
    </row>
    <row r="46" ht="18" customHeight="1" spans="3:8">
      <c r="C46" s="2"/>
      <c r="H46" s="11">
        <f>B35*0.25</f>
        <v>204843.603830275</v>
      </c>
    </row>
    <row r="47" ht="18" customHeight="1" spans="3:3">
      <c r="C47" s="2"/>
    </row>
    <row r="48" ht="18" customHeight="1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 verticalDpi="180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2021-11-08T03:19:27Z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E25380F06B194987820A14BF0E34F882</vt:lpwstr>
  </property>
</Properties>
</file>