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新!$A$13:$O$56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4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4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<sst xmlns="http://schemas.openxmlformats.org/spreadsheetml/2006/main" count="322" uniqueCount="99">
  <si>
    <t>C11668  桐君街道C166里包村口至罗桥提升改造工程</t>
  </si>
  <si>
    <t>中标日期</t>
  </si>
  <si>
    <t>中标价</t>
  </si>
  <si>
    <t>负责人</t>
  </si>
  <si>
    <t>周恒泉</t>
  </si>
  <si>
    <t>建设单位</t>
  </si>
  <si>
    <t>桐庐县桐君街道阆苑村股份经济合作社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</si>
  <si>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</si>
  <si>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</si>
  <si>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</si>
  <si>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</si>
  <si>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</si>
  <si>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</si>
  <si>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</si>
  <si>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</si>
  <si>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</si>
  <si>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</si>
  <si>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</si>
  <si>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</si>
  <si>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</si>
  <si>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</si>
  <si>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</si>
  <si>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</si>
  <si>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</si>
  <si>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</si>
  <si>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</si>
  <si>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</si>
  <si>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</si>
  <si>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</si>
  <si>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</si>
  <si>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</si>
  <si>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</si>
  <si>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</si>
  <si>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</si>
  <si>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</si>
  <si>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</si>
  <si>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</si>
  <si>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桐庐县招投标服务中心</t>
  </si>
  <si>
    <t>交易服务费</t>
  </si>
  <si>
    <t>中国人寿财产保险股份有限公司杭州市分公司</t>
  </si>
  <si>
    <t>保险费</t>
  </si>
  <si>
    <t>电子票</t>
  </si>
  <si>
    <t>桐庐坤锦贸易有限公司</t>
  </si>
  <si>
    <t>水泥189 吨</t>
  </si>
  <si>
    <t>有</t>
  </si>
  <si>
    <t>机打</t>
  </si>
  <si>
    <t>桐庐县桐君街道梦姣挖机租赁服务部</t>
  </si>
  <si>
    <t>模板830块、沙子890、石子1045</t>
  </si>
  <si>
    <t>杭州德诚贸易有限公司</t>
  </si>
  <si>
    <t>水泥445吨</t>
  </si>
  <si>
    <t>杭州金慧达集团有限公司</t>
  </si>
  <si>
    <t>排水管41节</t>
  </si>
  <si>
    <t>有收据</t>
  </si>
  <si>
    <t>浙江自贸区杭舟石化有限公司</t>
  </si>
  <si>
    <t>柴油7.58吨</t>
  </si>
  <si>
    <t>杭州路建金属制品有限公司</t>
  </si>
  <si>
    <t>钢筋11.75吨</t>
  </si>
  <si>
    <t>有收据、货单</t>
  </si>
  <si>
    <t>三门鸿安交通设施有限公司</t>
  </si>
  <si>
    <t>标志牌24块</t>
  </si>
  <si>
    <t xml:space="preserve"> </t>
  </si>
  <si>
    <t>桐庐万汇交通设施有限公司</t>
  </si>
  <si>
    <t>标线</t>
  </si>
  <si>
    <t>杭州恒瑞交通工程有限公司</t>
  </si>
  <si>
    <t>沥青工程服务</t>
  </si>
  <si>
    <t>桐庐震和拓市政工程有限公司</t>
  </si>
  <si>
    <t>水稳</t>
  </si>
  <si>
    <t>桐庐县桐君街道胡江挖机租赁服务部</t>
  </si>
  <si>
    <t>挖机租赁费</t>
  </si>
  <si>
    <t>沙子185吨*90.石子457吨*95、水泥107吨*500</t>
  </si>
  <si>
    <t>杭州多木建筑劳务分包有限公司</t>
  </si>
  <si>
    <t>工程服务</t>
  </si>
  <si>
    <t>2次</t>
  </si>
  <si>
    <t>扣</t>
  </si>
  <si>
    <t>手续费</t>
  </si>
  <si>
    <t>企税1.6%</t>
  </si>
  <si>
    <t>水利基金</t>
  </si>
  <si>
    <t>代办费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</si>
  <si>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</si>
  <si>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</si>
  <si>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</si>
  <si>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</si>
  <si>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</si>
  <si>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</si>
  <si>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</si>
  <si>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2020年1月开票税金</t>
  </si>
  <si>
    <t>19.12/20.1月开票扣税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</si>
  <si>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</si>
  <si>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</si>
  <si>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</si>
  <si>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</si>
  <si>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</si>
  <si>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</si>
  <si>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</si>
  <si>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</si>
  <si>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</si>
  <si>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1-10日 周恒泉转王光如</t>
  </si>
  <si>
    <t>可退周恒泉16269.53元 2020.1.21</t>
  </si>
  <si>
    <t>桐君街道C166里包村口至罗桥提升改造工程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</si>
</sst>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/m/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43" fontId="4" fillId="0" borderId="0" xfId="8" applyFont="1" applyAlignme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2" fillId="3" borderId="0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178" fontId="6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topLeftCell="A16" workbookViewId="0">
      <selection activeCell="L41" sqref="L4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31.875" style="6" customWidth="1"/>
    <col min="13" max="13" width="26.125" style="6" customWidth="1"/>
    <col min="14" max="14" width="12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9">
        <v>43689</v>
      </c>
      <c r="C2" s="11" t="s">
        <v>2</v>
      </c>
      <c r="D2" s="12">
        <v>3039728</v>
      </c>
      <c r="E2" s="13" t="s">
        <v>3</v>
      </c>
      <c r="F2" s="14" t="s">
        <v>4</v>
      </c>
      <c r="G2" s="15" t="s">
        <v>5</v>
      </c>
      <c r="H2" s="16" t="s">
        <v>6</v>
      </c>
      <c r="I2" s="56"/>
      <c r="J2" s="57"/>
      <c r="K2" s="18"/>
      <c r="L2" s="18"/>
    </row>
    <row r="3" ht="18" customHeight="1" spans="1:12">
      <c r="A3" s="9" t="s">
        <v>7</v>
      </c>
      <c r="B3" s="67">
        <v>44585</v>
      </c>
      <c r="C3" s="11" t="s">
        <v>8</v>
      </c>
      <c r="D3" s="11">
        <v>2870602</v>
      </c>
      <c r="H3" s="18"/>
      <c r="I3" s="58"/>
      <c r="J3" s="18"/>
      <c r="K3" s="18"/>
      <c r="L3" s="18"/>
    </row>
    <row r="4" ht="18" customHeight="1" spans="1:12">
      <c r="A4" s="2" t="s">
        <v>9</v>
      </c>
      <c r="H4" s="18"/>
      <c r="I4" s="58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43802</v>
      </c>
      <c r="B7" s="11">
        <f t="shared" ref="B7:B10" si="0">G7/(1+C7+E7)</f>
        <v>275229.357798165</v>
      </c>
      <c r="C7" s="24">
        <v>0.02</v>
      </c>
      <c r="D7" s="68">
        <f t="shared" ref="D7:D10" si="1">G7/(1+E7+C7)*C7</f>
        <v>5504.5871559633</v>
      </c>
      <c r="E7" s="26">
        <v>0.07</v>
      </c>
      <c r="F7" s="11">
        <f t="shared" ref="F7:F10" si="2">G7/(1+C7+E7)*E7</f>
        <v>19266.0550458716</v>
      </c>
      <c r="G7" s="69">
        <v>300000</v>
      </c>
      <c r="H7" s="22">
        <v>43847</v>
      </c>
      <c r="I7" s="11">
        <v>300000</v>
      </c>
      <c r="J7" s="59" t="s">
        <v>21</v>
      </c>
    </row>
    <row r="8" ht="18" customHeight="1" spans="1:10">
      <c r="A8" s="22">
        <v>43840</v>
      </c>
      <c r="B8" s="11">
        <f t="shared" si="0"/>
        <v>1834862.3853211</v>
      </c>
      <c r="C8" s="24">
        <v>0.02</v>
      </c>
      <c r="D8" s="68">
        <f t="shared" si="1"/>
        <v>36697.247706422</v>
      </c>
      <c r="E8" s="26">
        <v>0.07</v>
      </c>
      <c r="F8" s="11">
        <f t="shared" si="2"/>
        <v>128440.366972477</v>
      </c>
      <c r="G8" s="69">
        <v>2000000</v>
      </c>
      <c r="H8" s="22">
        <v>43850</v>
      </c>
      <c r="I8" s="11">
        <v>2000000</v>
      </c>
      <c r="J8" s="59" t="s">
        <v>21</v>
      </c>
    </row>
    <row r="9" ht="18" customHeight="1" spans="1:10">
      <c r="A9" s="22"/>
      <c r="B9" s="11">
        <f t="shared" si="0"/>
        <v>0</v>
      </c>
      <c r="C9" s="24">
        <v>0.02</v>
      </c>
      <c r="D9" s="68">
        <f t="shared" si="1"/>
        <v>0</v>
      </c>
      <c r="E9" s="26">
        <v>0.07</v>
      </c>
      <c r="F9" s="11">
        <f t="shared" si="2"/>
        <v>0</v>
      </c>
      <c r="G9" s="69"/>
      <c r="H9" s="22"/>
      <c r="I9" s="11"/>
      <c r="J9" s="59"/>
    </row>
    <row r="10" ht="18" customHeight="1" spans="1:10">
      <c r="A10" s="22"/>
      <c r="B10" s="11">
        <f t="shared" si="0"/>
        <v>0</v>
      </c>
      <c r="C10" s="24">
        <v>0.02</v>
      </c>
      <c r="D10" s="68">
        <f t="shared" si="1"/>
        <v>0</v>
      </c>
      <c r="E10" s="26">
        <v>0.07</v>
      </c>
      <c r="F10" s="11">
        <f t="shared" si="2"/>
        <v>0</v>
      </c>
      <c r="G10" s="69"/>
      <c r="H10" s="22"/>
      <c r="I10" s="11"/>
      <c r="J10" s="59"/>
    </row>
    <row r="11" ht="18" customHeight="1" spans="1:10">
      <c r="A11" s="28" t="s">
        <v>22</v>
      </c>
      <c r="B11" s="70">
        <f t="shared" ref="B11:G11" si="3">SUM(B7:B10)</f>
        <v>2110091.74311927</v>
      </c>
      <c r="C11" s="30"/>
      <c r="D11" s="30">
        <f t="shared" si="3"/>
        <v>42201.8348623853</v>
      </c>
      <c r="E11" s="30"/>
      <c r="F11" s="71">
        <f t="shared" si="3"/>
        <v>147706.422018349</v>
      </c>
      <c r="G11" s="30">
        <f t="shared" si="3"/>
        <v>2300000</v>
      </c>
      <c r="H11" s="33"/>
      <c r="I11" s="30">
        <f>SUM(I7:I10)</f>
        <v>2300000</v>
      </c>
      <c r="J11" s="33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4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60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1" customFormat="1" ht="18" customHeight="1" spans="1:15">
      <c r="A14" s="35">
        <v>43770</v>
      </c>
      <c r="B14" s="72">
        <f t="shared" ref="B14:B37" si="4">ROUND(G14/(1+E14),2)</f>
        <v>2358.49</v>
      </c>
      <c r="C14" s="36"/>
      <c r="D14" s="37" t="s">
        <v>36</v>
      </c>
      <c r="E14" s="38">
        <v>0.06</v>
      </c>
      <c r="F14" s="72">
        <f t="shared" ref="F14:F37" si="5">ROUND(G14/(1+E14)*E14,2)</f>
        <v>141.51</v>
      </c>
      <c r="G14" s="73">
        <v>2500</v>
      </c>
      <c r="H14" s="22"/>
      <c r="I14" s="11"/>
      <c r="J14" s="59"/>
      <c r="K14" s="61" t="s">
        <v>37</v>
      </c>
      <c r="L14" s="62" t="s">
        <v>38</v>
      </c>
      <c r="M14" s="63"/>
      <c r="N14" s="63"/>
      <c r="O14" s="62"/>
    </row>
    <row r="15" s="1" customFormat="1" ht="18" customHeight="1" spans="1:15">
      <c r="A15" s="35">
        <v>43770</v>
      </c>
      <c r="B15" s="72">
        <f t="shared" si="4"/>
        <v>17329.25</v>
      </c>
      <c r="C15" s="36"/>
      <c r="D15" s="37" t="s">
        <v>36</v>
      </c>
      <c r="E15" s="38">
        <v>0.06</v>
      </c>
      <c r="F15" s="72">
        <f t="shared" si="5"/>
        <v>1039.75</v>
      </c>
      <c r="G15" s="73">
        <v>18369</v>
      </c>
      <c r="H15" s="22"/>
      <c r="I15" s="11"/>
      <c r="J15" s="59"/>
      <c r="K15" s="61" t="s">
        <v>39</v>
      </c>
      <c r="L15" s="62" t="s">
        <v>40</v>
      </c>
      <c r="M15" s="63"/>
      <c r="N15" s="63"/>
      <c r="O15" s="62"/>
    </row>
    <row r="16" s="1" customFormat="1" ht="18" customHeight="1" spans="1:15">
      <c r="A16" s="35">
        <v>43770</v>
      </c>
      <c r="B16" s="72">
        <f t="shared" si="4"/>
        <v>1240</v>
      </c>
      <c r="C16" s="36"/>
      <c r="D16" s="37" t="s">
        <v>41</v>
      </c>
      <c r="E16" s="38"/>
      <c r="F16" s="72">
        <f t="shared" si="5"/>
        <v>0</v>
      </c>
      <c r="G16" s="73">
        <v>1240</v>
      </c>
      <c r="H16" s="22"/>
      <c r="I16" s="11"/>
      <c r="J16" s="59"/>
      <c r="K16" s="61" t="s">
        <v>39</v>
      </c>
      <c r="L16" s="62" t="s">
        <v>40</v>
      </c>
      <c r="M16" s="63"/>
      <c r="N16" s="63"/>
      <c r="O16" s="62"/>
    </row>
    <row r="17" s="1" customFormat="1" ht="18" customHeight="1" spans="1:15">
      <c r="A17" s="35">
        <v>43770</v>
      </c>
      <c r="B17" s="72">
        <f t="shared" si="4"/>
        <v>61946.9</v>
      </c>
      <c r="C17" s="36"/>
      <c r="D17" s="37" t="s">
        <v>36</v>
      </c>
      <c r="E17" s="38">
        <v>0.13</v>
      </c>
      <c r="F17" s="72">
        <f t="shared" si="5"/>
        <v>8053.1</v>
      </c>
      <c r="G17" s="69">
        <v>70000</v>
      </c>
      <c r="H17" s="22">
        <v>43852</v>
      </c>
      <c r="I17" s="11">
        <v>70000</v>
      </c>
      <c r="J17" s="59" t="s">
        <v>21</v>
      </c>
      <c r="K17" s="61" t="s">
        <v>42</v>
      </c>
      <c r="L17" s="62" t="s">
        <v>43</v>
      </c>
      <c r="M17" s="63" t="s">
        <v>44</v>
      </c>
      <c r="N17" s="63" t="s">
        <v>44</v>
      </c>
      <c r="O17" s="62"/>
    </row>
    <row r="18" s="1" customFormat="1" ht="18" customHeight="1" spans="1:15">
      <c r="A18" s="35">
        <v>43770</v>
      </c>
      <c r="B18" s="72">
        <f t="shared" si="4"/>
        <v>249925</v>
      </c>
      <c r="C18" s="36"/>
      <c r="D18" s="37" t="s">
        <v>45</v>
      </c>
      <c r="E18" s="40"/>
      <c r="F18" s="72">
        <f t="shared" si="5"/>
        <v>0</v>
      </c>
      <c r="G18" s="69">
        <v>249925</v>
      </c>
      <c r="H18" s="22"/>
      <c r="I18" s="11"/>
      <c r="J18" s="59"/>
      <c r="K18" s="61" t="s">
        <v>46</v>
      </c>
      <c r="L18" s="62" t="s">
        <v>47</v>
      </c>
      <c r="M18" s="63" t="s">
        <v>44</v>
      </c>
      <c r="N18" s="63" t="s">
        <v>44</v>
      </c>
      <c r="O18" s="62"/>
    </row>
    <row r="19" s="1" customFormat="1" ht="18" customHeight="1" spans="1:15">
      <c r="A19" s="35">
        <v>43770</v>
      </c>
      <c r="B19" s="11">
        <f t="shared" si="4"/>
        <v>177212.39</v>
      </c>
      <c r="C19" s="41"/>
      <c r="D19" s="42" t="s">
        <v>36</v>
      </c>
      <c r="E19" s="43">
        <v>0.13</v>
      </c>
      <c r="F19" s="11">
        <f t="shared" si="5"/>
        <v>23037.61</v>
      </c>
      <c r="G19" s="73">
        <v>200250</v>
      </c>
      <c r="H19" s="22">
        <v>43852</v>
      </c>
      <c r="I19" s="11">
        <v>200250</v>
      </c>
      <c r="J19" s="59" t="s">
        <v>21</v>
      </c>
      <c r="K19" s="61" t="s">
        <v>48</v>
      </c>
      <c r="L19" s="62" t="s">
        <v>49</v>
      </c>
      <c r="M19" s="63" t="s">
        <v>44</v>
      </c>
      <c r="N19" s="63" t="s">
        <v>44</v>
      </c>
      <c r="O19" s="62"/>
    </row>
    <row r="20" s="1" customFormat="1" ht="18" customHeight="1" spans="1:15">
      <c r="A20" s="35">
        <v>43770</v>
      </c>
      <c r="B20" s="72">
        <f t="shared" si="4"/>
        <v>26411.5</v>
      </c>
      <c r="C20" s="36"/>
      <c r="D20" s="37" t="s">
        <v>36</v>
      </c>
      <c r="E20" s="38">
        <v>0.13</v>
      </c>
      <c r="F20" s="72">
        <f t="shared" si="5"/>
        <v>3433.5</v>
      </c>
      <c r="G20" s="69">
        <v>29845</v>
      </c>
      <c r="H20" s="22"/>
      <c r="I20" s="11"/>
      <c r="J20" s="59"/>
      <c r="K20" s="61" t="s">
        <v>50</v>
      </c>
      <c r="L20" s="62" t="s">
        <v>51</v>
      </c>
      <c r="M20" s="63"/>
      <c r="N20" s="63" t="s">
        <v>44</v>
      </c>
      <c r="O20" s="62" t="s">
        <v>52</v>
      </c>
    </row>
    <row r="21" s="1" customFormat="1" ht="18" customHeight="1" spans="1:15">
      <c r="A21" s="35">
        <v>43800</v>
      </c>
      <c r="B21" s="72">
        <f t="shared" si="4"/>
        <v>44272.57</v>
      </c>
      <c r="C21" s="36"/>
      <c r="D21" s="37" t="s">
        <v>36</v>
      </c>
      <c r="E21" s="38">
        <v>0.13</v>
      </c>
      <c r="F21" s="72">
        <f t="shared" si="5"/>
        <v>5755.43</v>
      </c>
      <c r="G21" s="69">
        <v>50028</v>
      </c>
      <c r="H21" s="22">
        <v>43852</v>
      </c>
      <c r="I21" s="11">
        <v>50028</v>
      </c>
      <c r="J21" s="59" t="s">
        <v>21</v>
      </c>
      <c r="K21" s="61" t="s">
        <v>53</v>
      </c>
      <c r="L21" s="62" t="s">
        <v>54</v>
      </c>
      <c r="M21" s="63" t="s">
        <v>44</v>
      </c>
      <c r="N21" s="63" t="s">
        <v>44</v>
      </c>
      <c r="O21" s="62"/>
    </row>
    <row r="22" s="1" customFormat="1" ht="18" customHeight="1" spans="1:15">
      <c r="A22" s="35">
        <v>43831</v>
      </c>
      <c r="B22" s="72">
        <f t="shared" si="4"/>
        <v>42840.71</v>
      </c>
      <c r="C22" s="36"/>
      <c r="D22" s="37" t="s">
        <v>36</v>
      </c>
      <c r="E22" s="38">
        <v>0.13</v>
      </c>
      <c r="F22" s="72">
        <f t="shared" si="5"/>
        <v>5569.29</v>
      </c>
      <c r="G22" s="73">
        <v>48410</v>
      </c>
      <c r="H22" s="22"/>
      <c r="I22" s="11"/>
      <c r="J22" s="59"/>
      <c r="K22" s="61" t="s">
        <v>55</v>
      </c>
      <c r="L22" s="62" t="s">
        <v>56</v>
      </c>
      <c r="M22" s="63"/>
      <c r="N22" s="63" t="s">
        <v>57</v>
      </c>
      <c r="O22" s="62"/>
    </row>
    <row r="23" s="1" customFormat="1" ht="18" customHeight="1" spans="1:15">
      <c r="A23" s="35">
        <v>43831</v>
      </c>
      <c r="B23" s="72">
        <f t="shared" si="4"/>
        <v>8389.38</v>
      </c>
      <c r="C23" s="36"/>
      <c r="D23" s="37" t="s">
        <v>36</v>
      </c>
      <c r="E23" s="38">
        <v>0.13</v>
      </c>
      <c r="F23" s="72">
        <f t="shared" si="5"/>
        <v>1090.62</v>
      </c>
      <c r="G23" s="73">
        <v>9480</v>
      </c>
      <c r="H23" s="22"/>
      <c r="I23" s="11"/>
      <c r="J23" s="59"/>
      <c r="K23" s="61" t="s">
        <v>58</v>
      </c>
      <c r="L23" s="62" t="s">
        <v>59</v>
      </c>
      <c r="M23" s="63" t="s">
        <v>60</v>
      </c>
      <c r="N23" s="63" t="s">
        <v>44</v>
      </c>
      <c r="O23" s="62"/>
    </row>
    <row r="24" s="1" customFormat="1" ht="18" customHeight="1" spans="1:15">
      <c r="A24" s="35">
        <v>43831</v>
      </c>
      <c r="B24" s="72">
        <f t="shared" si="4"/>
        <v>19165.05</v>
      </c>
      <c r="C24" s="36"/>
      <c r="D24" s="37" t="s">
        <v>36</v>
      </c>
      <c r="E24" s="38">
        <v>0.03</v>
      </c>
      <c r="F24" s="72">
        <f t="shared" si="5"/>
        <v>574.95</v>
      </c>
      <c r="G24" s="73">
        <v>19740</v>
      </c>
      <c r="H24" s="22"/>
      <c r="I24" s="11"/>
      <c r="J24" s="59"/>
      <c r="K24" s="61" t="s">
        <v>61</v>
      </c>
      <c r="L24" s="62" t="s">
        <v>62</v>
      </c>
      <c r="M24" s="63"/>
      <c r="N24" s="63" t="s">
        <v>57</v>
      </c>
      <c r="O24" s="62"/>
    </row>
    <row r="25" s="1" customFormat="1" ht="18" customHeight="1" spans="1:15">
      <c r="A25" s="35">
        <v>43831</v>
      </c>
      <c r="B25" s="72">
        <f t="shared" si="4"/>
        <v>458715.6</v>
      </c>
      <c r="C25" s="36"/>
      <c r="D25" s="37" t="s">
        <v>36</v>
      </c>
      <c r="E25" s="38">
        <v>0.09</v>
      </c>
      <c r="F25" s="72">
        <f t="shared" si="5"/>
        <v>41284.4</v>
      </c>
      <c r="G25" s="73">
        <f>500000</f>
        <v>500000</v>
      </c>
      <c r="H25" s="22">
        <v>43852</v>
      </c>
      <c r="I25" s="11">
        <v>500000</v>
      </c>
      <c r="J25" s="59" t="s">
        <v>21</v>
      </c>
      <c r="K25" s="61" t="s">
        <v>63</v>
      </c>
      <c r="L25" s="62" t="s">
        <v>64</v>
      </c>
      <c r="M25" s="63" t="s">
        <v>44</v>
      </c>
      <c r="N25" s="63" t="s">
        <v>44</v>
      </c>
      <c r="O25" s="62"/>
    </row>
    <row r="26" s="1" customFormat="1" ht="18" customHeight="1" spans="1:15">
      <c r="A26" s="35">
        <v>43831</v>
      </c>
      <c r="B26" s="72">
        <f t="shared" si="4"/>
        <v>477064.22</v>
      </c>
      <c r="C26" s="36"/>
      <c r="D26" s="37" t="s">
        <v>36</v>
      </c>
      <c r="E26" s="38">
        <v>0.09</v>
      </c>
      <c r="F26" s="72">
        <f t="shared" si="5"/>
        <v>42935.78</v>
      </c>
      <c r="G26" s="69">
        <v>520000</v>
      </c>
      <c r="H26" s="22">
        <v>43852</v>
      </c>
      <c r="I26" s="11">
        <v>520000</v>
      </c>
      <c r="J26" s="59" t="s">
        <v>21</v>
      </c>
      <c r="K26" s="61" t="s">
        <v>65</v>
      </c>
      <c r="L26" s="62" t="s">
        <v>66</v>
      </c>
      <c r="M26" s="63" t="s">
        <v>44</v>
      </c>
      <c r="N26" s="63" t="s">
        <v>44</v>
      </c>
      <c r="O26" s="62"/>
    </row>
    <row r="27" s="1" customFormat="1" ht="18" customHeight="1" spans="1:15">
      <c r="A27" s="35">
        <v>43831</v>
      </c>
      <c r="B27" s="72">
        <f t="shared" si="4"/>
        <v>217260</v>
      </c>
      <c r="C27" s="36"/>
      <c r="D27" s="37" t="s">
        <v>45</v>
      </c>
      <c r="E27" s="40"/>
      <c r="F27" s="72">
        <f t="shared" si="5"/>
        <v>0</v>
      </c>
      <c r="G27" s="69">
        <f>59160+98600+59500</f>
        <v>217260</v>
      </c>
      <c r="H27" s="22"/>
      <c r="I27" s="11"/>
      <c r="J27" s="59"/>
      <c r="K27" s="61" t="s">
        <v>67</v>
      </c>
      <c r="L27" s="62" t="s">
        <v>68</v>
      </c>
      <c r="M27" s="63"/>
      <c r="N27" s="63"/>
      <c r="O27" s="62"/>
    </row>
    <row r="28" s="1" customFormat="1" ht="18" customHeight="1" spans="1:15">
      <c r="A28" s="35">
        <v>43831</v>
      </c>
      <c r="B28" s="72">
        <f t="shared" si="4"/>
        <v>113565</v>
      </c>
      <c r="C28" s="36"/>
      <c r="D28" s="37" t="s">
        <v>45</v>
      </c>
      <c r="E28" s="40"/>
      <c r="F28" s="72">
        <f t="shared" si="5"/>
        <v>0</v>
      </c>
      <c r="G28" s="69">
        <f>60065+53500</f>
        <v>113565</v>
      </c>
      <c r="H28" s="22">
        <v>43852</v>
      </c>
      <c r="I28" s="11">
        <v>363490</v>
      </c>
      <c r="J28" s="59" t="s">
        <v>21</v>
      </c>
      <c r="K28" s="61" t="s">
        <v>46</v>
      </c>
      <c r="L28" s="62" t="s">
        <v>69</v>
      </c>
      <c r="M28" s="63"/>
      <c r="N28" s="63"/>
      <c r="O28" s="62"/>
    </row>
    <row r="29" s="1" customFormat="1" ht="18" customHeight="1" spans="1:15">
      <c r="A29" s="35">
        <v>43831</v>
      </c>
      <c r="B29" s="72">
        <f t="shared" si="4"/>
        <v>509165.05</v>
      </c>
      <c r="C29" s="36"/>
      <c r="D29" s="37" t="s">
        <v>36</v>
      </c>
      <c r="E29" s="38">
        <v>0.03</v>
      </c>
      <c r="F29" s="72">
        <f t="shared" si="5"/>
        <v>15274.95</v>
      </c>
      <c r="G29" s="69">
        <v>524440</v>
      </c>
      <c r="H29" s="22">
        <v>43852</v>
      </c>
      <c r="I29" s="11">
        <v>397578.6</v>
      </c>
      <c r="J29" s="59" t="s">
        <v>21</v>
      </c>
      <c r="K29" s="61" t="s">
        <v>70</v>
      </c>
      <c r="L29" s="62" t="s">
        <v>71</v>
      </c>
      <c r="M29" s="63" t="s">
        <v>44</v>
      </c>
      <c r="N29" s="63"/>
      <c r="O29" s="62"/>
    </row>
    <row r="30" s="1" customFormat="1" ht="18" customHeight="1" spans="1:15">
      <c r="A30" s="35"/>
      <c r="B30" s="72"/>
      <c r="C30" s="36"/>
      <c r="D30" s="37"/>
      <c r="E30" s="38"/>
      <c r="F30" s="72"/>
      <c r="G30" s="69"/>
      <c r="H30" s="22"/>
      <c r="I30" s="11"/>
      <c r="J30" s="59"/>
      <c r="K30" s="61"/>
      <c r="L30" s="62"/>
      <c r="M30" s="63"/>
      <c r="N30" s="63"/>
      <c r="O30" s="62"/>
    </row>
    <row r="31" s="1" customFormat="1" ht="18" customHeight="1" spans="1:15">
      <c r="A31" s="35"/>
      <c r="B31" s="72"/>
      <c r="C31" s="36"/>
      <c r="D31" s="37"/>
      <c r="E31" s="38"/>
      <c r="F31" s="72"/>
      <c r="G31" s="69"/>
      <c r="H31" s="22"/>
      <c r="I31" s="11"/>
      <c r="J31" s="59"/>
      <c r="K31" s="61"/>
      <c r="L31" s="62"/>
      <c r="M31" s="63"/>
      <c r="N31" s="63"/>
      <c r="O31" s="62"/>
    </row>
    <row r="32" s="1" customFormat="1" ht="18" customHeight="1" spans="1:15">
      <c r="A32" s="35"/>
      <c r="B32" s="72"/>
      <c r="C32" s="36"/>
      <c r="D32" s="37"/>
      <c r="E32" s="38"/>
      <c r="F32" s="72"/>
      <c r="G32" s="69"/>
      <c r="H32" s="22"/>
      <c r="I32" s="11"/>
      <c r="J32" s="59"/>
      <c r="K32" s="61"/>
      <c r="L32" s="62"/>
      <c r="M32" s="63"/>
      <c r="N32" s="63"/>
      <c r="O32" s="62"/>
    </row>
    <row r="33" s="1" customFormat="1" ht="18" customHeight="1" spans="1:15">
      <c r="A33" s="35"/>
      <c r="B33" s="72"/>
      <c r="C33" s="36"/>
      <c r="D33" s="37"/>
      <c r="E33" s="38"/>
      <c r="F33" s="72"/>
      <c r="G33" s="69"/>
      <c r="H33" s="22"/>
      <c r="I33" s="11"/>
      <c r="J33" s="59"/>
      <c r="K33" s="61"/>
      <c r="L33" s="62"/>
      <c r="M33" s="63"/>
      <c r="N33" s="63"/>
      <c r="O33" s="62"/>
    </row>
    <row r="34" s="1" customFormat="1" ht="18" customHeight="1" spans="1:15">
      <c r="A34" s="35"/>
      <c r="B34" s="72"/>
      <c r="C34" s="36"/>
      <c r="D34" s="37"/>
      <c r="E34" s="38"/>
      <c r="F34" s="72"/>
      <c r="G34" s="69"/>
      <c r="H34" s="22"/>
      <c r="I34" s="11"/>
      <c r="J34" s="59"/>
      <c r="K34" s="61"/>
      <c r="L34" s="62"/>
      <c r="M34" s="63"/>
      <c r="N34" s="63"/>
      <c r="O34" s="62"/>
    </row>
    <row r="35" s="1" customFormat="1" ht="18" customHeight="1" spans="1:15">
      <c r="A35" s="35"/>
      <c r="B35" s="72"/>
      <c r="C35" s="36"/>
      <c r="D35" s="37"/>
      <c r="E35" s="38"/>
      <c r="F35" s="72"/>
      <c r="G35" s="69"/>
      <c r="H35" s="22"/>
      <c r="I35" s="11"/>
      <c r="J35" s="59"/>
      <c r="K35" s="61"/>
      <c r="L35" s="62"/>
      <c r="M35" s="63"/>
      <c r="N35" s="63"/>
      <c r="O35" s="62"/>
    </row>
    <row r="36" s="1" customFormat="1" ht="18" customHeight="1" spans="1:15">
      <c r="A36" s="35"/>
      <c r="B36" s="72">
        <f>ROUND(G36/(1+E36),2)</f>
        <v>0</v>
      </c>
      <c r="C36" s="36"/>
      <c r="D36" s="37"/>
      <c r="E36" s="40"/>
      <c r="F36" s="72">
        <f>ROUND(G36/(1+E36)*E36,2)</f>
        <v>0</v>
      </c>
      <c r="G36" s="69"/>
      <c r="H36" s="22"/>
      <c r="I36" s="11"/>
      <c r="J36" s="59"/>
      <c r="K36" s="61"/>
      <c r="L36" s="62"/>
      <c r="M36" s="63"/>
      <c r="N36" s="63"/>
      <c r="O36" s="62"/>
    </row>
    <row r="37" s="1" customFormat="1" ht="18" customHeight="1" spans="1:15">
      <c r="A37" s="35"/>
      <c r="B37" s="72">
        <f>ROUND(G37/(1+E37),2)</f>
        <v>0</v>
      </c>
      <c r="C37" s="36"/>
      <c r="D37" s="37"/>
      <c r="E37" s="40"/>
      <c r="F37" s="72">
        <f>ROUND(G37/(1+E37)*E37,2)</f>
        <v>0</v>
      </c>
      <c r="G37" s="69"/>
      <c r="H37" s="22" t="s">
        <v>72</v>
      </c>
      <c r="I37" s="11">
        <v>600</v>
      </c>
      <c r="J37" s="59" t="s">
        <v>73</v>
      </c>
      <c r="K37" s="61" t="s">
        <v>74</v>
      </c>
      <c r="L37" s="62"/>
      <c r="M37" s="63"/>
      <c r="N37" s="63"/>
      <c r="O37" s="62"/>
    </row>
    <row r="38" s="1" customFormat="1" ht="18" customHeight="1" spans="1:15">
      <c r="A38" s="35"/>
      <c r="B38" s="72">
        <f>ROUND(G38/(1+E38),2)</f>
        <v>0</v>
      </c>
      <c r="C38" s="36"/>
      <c r="D38" s="37"/>
      <c r="E38" s="40"/>
      <c r="F38" s="72">
        <f>ROUND(G38/(1+E38)*E38,2)</f>
        <v>0</v>
      </c>
      <c r="G38" s="69"/>
      <c r="H38" s="22" t="s">
        <v>72</v>
      </c>
      <c r="I38" s="11">
        <v>36800</v>
      </c>
      <c r="J38" s="59" t="s">
        <v>73</v>
      </c>
      <c r="K38" s="61" t="s">
        <v>75</v>
      </c>
      <c r="L38" s="62"/>
      <c r="M38" s="63"/>
      <c r="N38" s="63"/>
      <c r="O38" s="62"/>
    </row>
    <row r="39" s="1" customFormat="1" ht="18" customHeight="1" spans="1:15">
      <c r="A39" s="35"/>
      <c r="B39" s="72">
        <f>ROUND(G39/(1+E39),2)</f>
        <v>0</v>
      </c>
      <c r="C39" s="36"/>
      <c r="D39" s="37"/>
      <c r="E39" s="40"/>
      <c r="F39" s="72">
        <f>ROUND(G39/(1+E39)*E39,2)</f>
        <v>0</v>
      </c>
      <c r="G39" s="69"/>
      <c r="H39" s="22" t="s">
        <v>72</v>
      </c>
      <c r="I39" s="11">
        <v>1267</v>
      </c>
      <c r="J39" s="59" t="s">
        <v>73</v>
      </c>
      <c r="K39" s="61" t="s">
        <v>76</v>
      </c>
      <c r="L39" s="62"/>
      <c r="M39" s="63"/>
      <c r="N39" s="63"/>
      <c r="O39" s="62"/>
    </row>
    <row r="40" s="1" customFormat="1" ht="18" customHeight="1" spans="1:15">
      <c r="A40" s="35"/>
      <c r="B40" s="72">
        <f>ROUND(G40/(1+E40),2)</f>
        <v>0</v>
      </c>
      <c r="C40" s="36"/>
      <c r="D40" s="37"/>
      <c r="E40" s="40"/>
      <c r="F40" s="72">
        <f>ROUND(G40/(1+E40)*E40,2)</f>
        <v>0</v>
      </c>
      <c r="G40" s="69"/>
      <c r="H40" s="22" t="s">
        <v>72</v>
      </c>
      <c r="I40" s="11">
        <v>8000</v>
      </c>
      <c r="J40" s="59" t="s">
        <v>73</v>
      </c>
      <c r="K40" s="61" t="s">
        <v>77</v>
      </c>
      <c r="L40" s="62"/>
      <c r="M40" s="63"/>
      <c r="N40" s="63"/>
      <c r="O40" s="62"/>
    </row>
    <row r="41" s="1" customFormat="1" ht="18" customHeight="1" spans="1:15">
      <c r="A41" s="35"/>
      <c r="B41" s="72">
        <f>ROUND(G41/(1+E41),2)</f>
        <v>151986.4</v>
      </c>
      <c r="C41" s="36"/>
      <c r="D41" s="37"/>
      <c r="E41" s="40"/>
      <c r="F41" s="72">
        <f>ROUND(G41/(1+E41)*E41,2)</f>
        <v>0</v>
      </c>
      <c r="G41" s="69">
        <f>151986.4</f>
        <v>151986.4</v>
      </c>
      <c r="H41" s="22" t="s">
        <v>72</v>
      </c>
      <c r="I41" s="11">
        <f>G41</f>
        <v>151986.4</v>
      </c>
      <c r="J41" s="59" t="s">
        <v>73</v>
      </c>
      <c r="K41" s="61" t="s">
        <v>78</v>
      </c>
      <c r="L41" s="62"/>
      <c r="M41" s="63"/>
      <c r="N41" s="63"/>
      <c r="O41" s="62"/>
    </row>
    <row r="42" ht="18" customHeight="1" spans="1:15">
      <c r="A42" s="30" t="s">
        <v>22</v>
      </c>
      <c r="B42" s="70">
        <f>SUM(B14:B41)</f>
        <v>2578847.51</v>
      </c>
      <c r="C42" s="30"/>
      <c r="D42" s="44"/>
      <c r="E42" s="44"/>
      <c r="F42" s="71">
        <f>SUM(F14:F41)</f>
        <v>148190.89</v>
      </c>
      <c r="G42" s="74">
        <f>SUM(G14:G41)</f>
        <v>2727038.4</v>
      </c>
      <c r="H42" s="46"/>
      <c r="I42" s="30">
        <f>SUM(I14:I41)</f>
        <v>2300000</v>
      </c>
      <c r="J42" s="64"/>
      <c r="K42" s="44"/>
      <c r="L42" s="33"/>
      <c r="M42" s="59"/>
      <c r="N42" s="59"/>
      <c r="O42" s="33"/>
    </row>
    <row r="43" ht="18" customHeight="1" spans="1:14">
      <c r="A43" s="47" t="s">
        <v>79</v>
      </c>
      <c r="B43" s="47">
        <f>B11*0.984</f>
        <v>2076330.27522936</v>
      </c>
      <c r="C43" s="47"/>
      <c r="D43" s="49"/>
      <c r="E43" s="49"/>
      <c r="F43" s="48"/>
      <c r="G43" s="47">
        <f>G11-G42</f>
        <v>-427038.4</v>
      </c>
      <c r="H43" s="21" t="s">
        <v>80</v>
      </c>
      <c r="I43" s="30">
        <f>I11-I42</f>
        <v>0</v>
      </c>
      <c r="J43" s="6"/>
      <c r="K43" s="65"/>
      <c r="M43" s="66"/>
      <c r="N43" s="66"/>
    </row>
    <row r="44" ht="18" customHeight="1" spans="1:14">
      <c r="A44" s="47" t="s">
        <v>81</v>
      </c>
      <c r="B44" s="47">
        <f>B43-B42</f>
        <v>-502517.23477064</v>
      </c>
      <c r="C44" s="47"/>
      <c r="D44" s="49"/>
      <c r="E44" s="49"/>
      <c r="F44" s="48"/>
      <c r="G44" s="48"/>
      <c r="H44" s="50"/>
      <c r="I44" s="48"/>
      <c r="J44" s="6"/>
      <c r="K44" s="65"/>
      <c r="M44" s="66"/>
      <c r="N44" s="66"/>
    </row>
    <row r="45" ht="18" customHeight="1" spans="1:3">
      <c r="A45" s="2" t="s">
        <v>82</v>
      </c>
      <c r="C45" s="2"/>
    </row>
    <row r="46" ht="18" customHeight="1" spans="1:8">
      <c r="A46" s="21" t="s">
        <v>83</v>
      </c>
      <c r="B46" s="20" t="s">
        <v>84</v>
      </c>
      <c r="C46" s="33"/>
      <c r="D46" s="21" t="s">
        <v>83</v>
      </c>
      <c r="E46" s="19" t="s">
        <v>16</v>
      </c>
      <c r="F46" s="20" t="s">
        <v>84</v>
      </c>
      <c r="G46" s="3" t="s">
        <v>85</v>
      </c>
      <c r="H46" s="20" t="s">
        <v>86</v>
      </c>
    </row>
    <row r="47" ht="18" customHeight="1" spans="1:8">
      <c r="A47" s="33" t="s">
        <v>87</v>
      </c>
      <c r="B47" s="17">
        <f>(B43-B42)*0.25</f>
        <v>-125629.30869266</v>
      </c>
      <c r="C47" s="33"/>
      <c r="D47" s="28" t="s">
        <v>88</v>
      </c>
      <c r="E47" s="21" t="s">
        <v>89</v>
      </c>
      <c r="F47" s="32">
        <f>F11-F42</f>
        <v>-484.467981651018</v>
      </c>
      <c r="G47" s="51">
        <v>14790.4820183486</v>
      </c>
      <c r="H47" s="32">
        <v>0</v>
      </c>
    </row>
    <row r="48" ht="18" customHeight="1" spans="1:8">
      <c r="A48" s="33" t="s">
        <v>90</v>
      </c>
      <c r="B48" s="52" t="s">
        <v>91</v>
      </c>
      <c r="C48" s="33"/>
      <c r="D48" s="53" t="s">
        <v>92</v>
      </c>
      <c r="E48" s="13">
        <v>0.05</v>
      </c>
      <c r="F48" s="23">
        <f>F47*E48</f>
        <v>-24.2233990825509</v>
      </c>
      <c r="G48" s="3">
        <v>739.524100917431</v>
      </c>
      <c r="H48" s="23">
        <v>0</v>
      </c>
    </row>
    <row r="49" ht="18" customHeight="1" spans="1:8">
      <c r="A49" s="33" t="s">
        <v>76</v>
      </c>
      <c r="B49" s="52"/>
      <c r="C49" s="33"/>
      <c r="D49" s="53" t="s">
        <v>93</v>
      </c>
      <c r="E49" s="13">
        <v>0.03</v>
      </c>
      <c r="F49" s="23">
        <f>F47*E49</f>
        <v>-14.5340394495305</v>
      </c>
      <c r="G49" s="3">
        <v>443.714460550458</v>
      </c>
      <c r="H49" s="23">
        <v>0</v>
      </c>
    </row>
    <row r="50" ht="18" customHeight="1" spans="1:8">
      <c r="A50" s="33"/>
      <c r="B50" s="23"/>
      <c r="C50" s="33"/>
      <c r="D50" s="53" t="s">
        <v>94</v>
      </c>
      <c r="E50" s="13">
        <v>0.02</v>
      </c>
      <c r="F50" s="23">
        <f>F47*E50</f>
        <v>-9.68935963302036</v>
      </c>
      <c r="G50" s="3">
        <v>295.809640366972</v>
      </c>
      <c r="H50" s="23">
        <v>0</v>
      </c>
    </row>
    <row r="51" ht="18" customHeight="1" spans="1:8">
      <c r="A51" s="28" t="s">
        <v>95</v>
      </c>
      <c r="B51" s="29">
        <f>SUM(B47:B50)</f>
        <v>-125629.30869266</v>
      </c>
      <c r="C51" s="33"/>
      <c r="D51" s="34" t="s">
        <v>95</v>
      </c>
      <c r="E51" s="28"/>
      <c r="F51" s="32">
        <f>SUM(F47:F50)</f>
        <v>-532.91477981612</v>
      </c>
      <c r="G51" s="51">
        <v>16269.5302201835</v>
      </c>
      <c r="H51" s="32">
        <v>0</v>
      </c>
    </row>
    <row r="52" ht="18" customHeight="1" spans="3:8">
      <c r="C52" s="2"/>
      <c r="D52" s="11" t="s">
        <v>90</v>
      </c>
      <c r="E52" s="54">
        <v>0.0003</v>
      </c>
      <c r="F52" s="23">
        <f>G11*E52</f>
        <v>690</v>
      </c>
      <c r="G52" s="3" t="s">
        <v>96</v>
      </c>
      <c r="H52" s="23"/>
    </row>
    <row r="53" ht="18" customHeight="1" spans="3:8">
      <c r="C53" s="2"/>
      <c r="D53" s="11" t="s">
        <v>76</v>
      </c>
      <c r="E53" s="54">
        <v>0.0006</v>
      </c>
      <c r="F53" s="23">
        <f>B11*E53</f>
        <v>1266.05504587156</v>
      </c>
      <c r="G53" s="55" t="s">
        <v>97</v>
      </c>
      <c r="H53" s="23">
        <f>SUM(B7:B8)*E53</f>
        <v>1266.05504587156</v>
      </c>
    </row>
    <row r="54" ht="18" customHeight="1" spans="3:8">
      <c r="C54" s="2"/>
      <c r="D54" s="19" t="s">
        <v>95</v>
      </c>
      <c r="E54" s="44"/>
      <c r="F54" s="31">
        <f>F53+F52</f>
        <v>1956.05504587156</v>
      </c>
      <c r="H54" s="31">
        <f>H53</f>
        <v>1266.05504587156</v>
      </c>
    </row>
    <row r="55" ht="18" customHeight="1" spans="3:8">
      <c r="C55" s="2"/>
      <c r="D55" s="19" t="s">
        <v>22</v>
      </c>
      <c r="E55" s="30"/>
      <c r="F55" s="31">
        <f>F51+F54</f>
        <v>1423.14026605544</v>
      </c>
      <c r="H55" s="31">
        <f>H51+H54</f>
        <v>1266.05504587156</v>
      </c>
    </row>
    <row r="56" ht="18" customHeight="1" spans="3:8">
      <c r="C56" s="2"/>
      <c r="D56" s="30" t="s">
        <v>87</v>
      </c>
      <c r="E56" s="44">
        <v>0.016</v>
      </c>
      <c r="F56" s="31">
        <f>B11*E56</f>
        <v>33761.4678899083</v>
      </c>
      <c r="H56" s="31">
        <f>SUM(G7:G8)*E56</f>
        <v>36800</v>
      </c>
    </row>
    <row r="57" ht="18" customHeight="1" spans="3:3">
      <c r="C57" s="2"/>
    </row>
    <row r="58" ht="18" customHeight="1" spans="3:3">
      <c r="C58" s="2"/>
    </row>
    <row r="59" ht="18" customHeight="1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</sheetData>
  <autoFilter ref="A13:O56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opLeftCell="A10" workbookViewId="0">
      <selection activeCell="M30" sqref="M3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98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43689</v>
      </c>
      <c r="C2" s="11" t="s">
        <v>2</v>
      </c>
      <c r="D2" s="12">
        <v>3039728</v>
      </c>
      <c r="E2" s="13" t="s">
        <v>3</v>
      </c>
      <c r="F2" s="14" t="s">
        <v>4</v>
      </c>
      <c r="G2" s="15" t="s">
        <v>5</v>
      </c>
      <c r="H2" s="16" t="s">
        <v>6</v>
      </c>
      <c r="I2" s="56"/>
      <c r="J2" s="57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8"/>
      <c r="J3" s="18"/>
      <c r="K3" s="18"/>
      <c r="L3" s="18"/>
    </row>
    <row r="4" ht="18" customHeight="1" spans="1:12">
      <c r="A4" s="2" t="s">
        <v>9</v>
      </c>
      <c r="H4" s="18"/>
      <c r="I4" s="58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43802</v>
      </c>
      <c r="B7" s="23">
        <f t="shared" ref="B7:B8" si="0">G7/(1+C7+E7)</f>
        <v>275229.357798165</v>
      </c>
      <c r="C7" s="24">
        <v>0.02</v>
      </c>
      <c r="D7" s="25">
        <f t="shared" ref="D7:D8" si="1">G7/(1+E7+C7)*C7</f>
        <v>5504.5871559633</v>
      </c>
      <c r="E7" s="26">
        <v>0.07</v>
      </c>
      <c r="F7" s="23">
        <f t="shared" ref="F7:F8" si="2">G7/(1+C7+E7)*E7</f>
        <v>19266.0550458716</v>
      </c>
      <c r="G7" s="27">
        <v>300000</v>
      </c>
      <c r="H7" s="22">
        <v>43847</v>
      </c>
      <c r="I7" s="23">
        <v>300000</v>
      </c>
      <c r="J7" s="59" t="s">
        <v>21</v>
      </c>
    </row>
    <row r="8" ht="18" customHeight="1" spans="1:10">
      <c r="A8" s="22">
        <v>43840</v>
      </c>
      <c r="B8" s="23">
        <f t="shared" si="0"/>
        <v>1834862.3853211</v>
      </c>
      <c r="C8" s="24">
        <v>0.02</v>
      </c>
      <c r="D8" s="25">
        <f t="shared" si="1"/>
        <v>36697.247706422</v>
      </c>
      <c r="E8" s="26">
        <v>0.07</v>
      </c>
      <c r="F8" s="23">
        <f t="shared" si="2"/>
        <v>128440.366972477</v>
      </c>
      <c r="G8" s="27">
        <v>2000000</v>
      </c>
      <c r="H8" s="22">
        <v>43850</v>
      </c>
      <c r="I8" s="23">
        <v>2000000</v>
      </c>
      <c r="J8" s="59" t="s">
        <v>21</v>
      </c>
    </row>
    <row r="9" ht="18" customHeight="1" spans="1:10">
      <c r="A9" s="22"/>
      <c r="B9" s="23">
        <f t="shared" ref="B8:B10" si="3">G9/(1+C9+E9)</f>
        <v>0</v>
      </c>
      <c r="C9" s="24">
        <v>0.02</v>
      </c>
      <c r="D9" s="25">
        <f t="shared" ref="D8:D10" si="4">G9/(1+E9+C9)*C9</f>
        <v>0</v>
      </c>
      <c r="E9" s="26">
        <v>0.07</v>
      </c>
      <c r="F9" s="23">
        <f t="shared" ref="F8:F10" si="5">G9/(1+C9+E9)*E9</f>
        <v>0</v>
      </c>
      <c r="G9" s="27"/>
      <c r="H9" s="22"/>
      <c r="I9" s="23"/>
      <c r="J9" s="59"/>
    </row>
    <row r="10" ht="18" customHeight="1" spans="1:10">
      <c r="A10" s="22"/>
      <c r="B10" s="23">
        <f t="shared" si="3"/>
        <v>0</v>
      </c>
      <c r="C10" s="24">
        <v>0.02</v>
      </c>
      <c r="D10" s="25">
        <f t="shared" si="4"/>
        <v>0</v>
      </c>
      <c r="E10" s="26">
        <v>0.07</v>
      </c>
      <c r="F10" s="23">
        <f t="shared" si="5"/>
        <v>0</v>
      </c>
      <c r="G10" s="27"/>
      <c r="H10" s="22"/>
      <c r="I10" s="23"/>
      <c r="J10" s="59"/>
    </row>
    <row r="11" ht="18" customHeight="1" spans="1:10">
      <c r="A11" s="28" t="s">
        <v>22</v>
      </c>
      <c r="B11" s="29">
        <f>SUM(B7:B10)</f>
        <v>2110091.74311927</v>
      </c>
      <c r="C11" s="30"/>
      <c r="D11" s="31">
        <f t="shared" ref="D11:G11" si="6">SUM(D7:D10)</f>
        <v>42201.8348623853</v>
      </c>
      <c r="E11" s="30"/>
      <c r="F11" s="32">
        <f t="shared" si="6"/>
        <v>147706.422018349</v>
      </c>
      <c r="G11" s="31">
        <f t="shared" si="6"/>
        <v>2300000</v>
      </c>
      <c r="H11" s="33"/>
      <c r="I11" s="31">
        <f>SUM(I7:I10)</f>
        <v>2300000</v>
      </c>
      <c r="J11" s="33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4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60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1" customFormat="1" ht="18" customHeight="1" spans="1:15">
      <c r="A14" s="35">
        <v>43770</v>
      </c>
      <c r="B14" s="17">
        <f t="shared" ref="B14:B30" si="7">ROUND(G14/(1+E14),2)</f>
        <v>2358.49</v>
      </c>
      <c r="C14" s="36"/>
      <c r="D14" s="37" t="s">
        <v>36</v>
      </c>
      <c r="E14" s="38">
        <v>0.06</v>
      </c>
      <c r="F14" s="17">
        <f t="shared" ref="F14:F30" si="8">ROUND(G14/(1+E14)*E14,2)</f>
        <v>141.51</v>
      </c>
      <c r="G14" s="39">
        <v>2500</v>
      </c>
      <c r="H14" s="22"/>
      <c r="I14" s="23"/>
      <c r="J14" s="59"/>
      <c r="K14" s="61" t="s">
        <v>37</v>
      </c>
      <c r="L14" s="62" t="s">
        <v>38</v>
      </c>
      <c r="M14" s="63"/>
      <c r="N14" s="63"/>
      <c r="O14" s="62"/>
    </row>
    <row r="15" s="1" customFormat="1" ht="18" customHeight="1" spans="1:15">
      <c r="A15" s="35">
        <v>43770</v>
      </c>
      <c r="B15" s="17">
        <f t="shared" si="7"/>
        <v>17329.25</v>
      </c>
      <c r="C15" s="36"/>
      <c r="D15" s="37" t="s">
        <v>36</v>
      </c>
      <c r="E15" s="38">
        <v>0.06</v>
      </c>
      <c r="F15" s="17">
        <f t="shared" si="8"/>
        <v>1039.75</v>
      </c>
      <c r="G15" s="39">
        <v>18369</v>
      </c>
      <c r="H15" s="22"/>
      <c r="I15" s="23"/>
      <c r="J15" s="59"/>
      <c r="K15" s="61" t="s">
        <v>39</v>
      </c>
      <c r="L15" s="62" t="s">
        <v>40</v>
      </c>
      <c r="M15" s="63"/>
      <c r="N15" s="63"/>
      <c r="O15" s="62"/>
    </row>
    <row r="16" s="1" customFormat="1" ht="18" customHeight="1" spans="1:15">
      <c r="A16" s="35">
        <v>43770</v>
      </c>
      <c r="B16" s="17">
        <f t="shared" si="7"/>
        <v>1240</v>
      </c>
      <c r="C16" s="36"/>
      <c r="D16" s="37" t="s">
        <v>41</v>
      </c>
      <c r="E16" s="38"/>
      <c r="F16" s="17">
        <f t="shared" si="8"/>
        <v>0</v>
      </c>
      <c r="G16" s="39">
        <v>1240</v>
      </c>
      <c r="H16" s="22"/>
      <c r="I16" s="23"/>
      <c r="J16" s="59"/>
      <c r="K16" s="61" t="s">
        <v>39</v>
      </c>
      <c r="L16" s="62" t="s">
        <v>40</v>
      </c>
      <c r="M16" s="63"/>
      <c r="N16" s="63"/>
      <c r="O16" s="62"/>
    </row>
    <row r="17" s="1" customFormat="1" ht="18" customHeight="1" spans="1:15">
      <c r="A17" s="35">
        <v>43770</v>
      </c>
      <c r="B17" s="17">
        <f t="shared" si="7"/>
        <v>61946.9</v>
      </c>
      <c r="C17" s="36"/>
      <c r="D17" s="37" t="s">
        <v>36</v>
      </c>
      <c r="E17" s="38">
        <v>0.13</v>
      </c>
      <c r="F17" s="17">
        <f t="shared" si="8"/>
        <v>8053.1</v>
      </c>
      <c r="G17" s="27">
        <v>70000</v>
      </c>
      <c r="H17" s="22">
        <v>43852</v>
      </c>
      <c r="I17" s="23">
        <v>70000</v>
      </c>
      <c r="J17" s="59" t="s">
        <v>21</v>
      </c>
      <c r="K17" s="61" t="s">
        <v>42</v>
      </c>
      <c r="L17" s="62" t="s">
        <v>43</v>
      </c>
      <c r="M17" s="63" t="s">
        <v>44</v>
      </c>
      <c r="N17" s="63" t="s">
        <v>44</v>
      </c>
      <c r="O17" s="62"/>
    </row>
    <row r="18" s="1" customFormat="1" ht="18" customHeight="1" spans="1:15">
      <c r="A18" s="35">
        <v>43770</v>
      </c>
      <c r="B18" s="17">
        <f t="shared" si="7"/>
        <v>249925</v>
      </c>
      <c r="C18" s="36"/>
      <c r="D18" s="37" t="s">
        <v>45</v>
      </c>
      <c r="E18" s="40"/>
      <c r="F18" s="17">
        <f t="shared" si="8"/>
        <v>0</v>
      </c>
      <c r="G18" s="27">
        <v>249925</v>
      </c>
      <c r="H18" s="22"/>
      <c r="I18" s="23"/>
      <c r="J18" s="59"/>
      <c r="K18" s="61" t="s">
        <v>46</v>
      </c>
      <c r="L18" s="62" t="s">
        <v>47</v>
      </c>
      <c r="M18" s="63" t="s">
        <v>44</v>
      </c>
      <c r="N18" s="63" t="s">
        <v>44</v>
      </c>
      <c r="O18" s="62"/>
    </row>
    <row r="19" s="1" customFormat="1" ht="18" customHeight="1" spans="1:15">
      <c r="A19" s="35">
        <v>43770</v>
      </c>
      <c r="B19" s="23">
        <f t="shared" si="7"/>
        <v>177212.39</v>
      </c>
      <c r="C19" s="41"/>
      <c r="D19" s="42" t="s">
        <v>36</v>
      </c>
      <c r="E19" s="43">
        <v>0.13</v>
      </c>
      <c r="F19" s="23">
        <f t="shared" si="8"/>
        <v>23037.61</v>
      </c>
      <c r="G19" s="39">
        <v>200250</v>
      </c>
      <c r="H19" s="22">
        <v>43852</v>
      </c>
      <c r="I19" s="23">
        <v>200250</v>
      </c>
      <c r="J19" s="59" t="s">
        <v>21</v>
      </c>
      <c r="K19" s="61" t="s">
        <v>48</v>
      </c>
      <c r="L19" s="62" t="s">
        <v>49</v>
      </c>
      <c r="M19" s="63" t="s">
        <v>44</v>
      </c>
      <c r="N19" s="63" t="s">
        <v>44</v>
      </c>
      <c r="O19" s="62"/>
    </row>
    <row r="20" s="1" customFormat="1" ht="18" customHeight="1" spans="1:15">
      <c r="A20" s="35">
        <v>43770</v>
      </c>
      <c r="B20" s="17">
        <f t="shared" si="7"/>
        <v>26411.5</v>
      </c>
      <c r="C20" s="36"/>
      <c r="D20" s="37" t="s">
        <v>36</v>
      </c>
      <c r="E20" s="38">
        <v>0.13</v>
      </c>
      <c r="F20" s="17">
        <f t="shared" si="8"/>
        <v>3433.5</v>
      </c>
      <c r="G20" s="27">
        <v>29845</v>
      </c>
      <c r="H20" s="22"/>
      <c r="I20" s="23"/>
      <c r="J20" s="59"/>
      <c r="K20" s="61" t="s">
        <v>50</v>
      </c>
      <c r="L20" s="62" t="s">
        <v>51</v>
      </c>
      <c r="M20" s="63"/>
      <c r="N20" s="63" t="s">
        <v>44</v>
      </c>
      <c r="O20" s="62" t="s">
        <v>52</v>
      </c>
    </row>
    <row r="21" s="1" customFormat="1" ht="18" customHeight="1" spans="1:15">
      <c r="A21" s="35">
        <v>43800</v>
      </c>
      <c r="B21" s="17">
        <f t="shared" si="7"/>
        <v>44272.57</v>
      </c>
      <c r="C21" s="36"/>
      <c r="D21" s="37" t="s">
        <v>36</v>
      </c>
      <c r="E21" s="38">
        <v>0.13</v>
      </c>
      <c r="F21" s="17">
        <f t="shared" si="8"/>
        <v>5755.43</v>
      </c>
      <c r="G21" s="27">
        <v>50028</v>
      </c>
      <c r="H21" s="22">
        <v>43852</v>
      </c>
      <c r="I21" s="23">
        <v>50028</v>
      </c>
      <c r="J21" s="59" t="s">
        <v>21</v>
      </c>
      <c r="K21" s="61" t="s">
        <v>53</v>
      </c>
      <c r="L21" s="62" t="s">
        <v>54</v>
      </c>
      <c r="M21" s="63" t="s">
        <v>44</v>
      </c>
      <c r="N21" s="63" t="s">
        <v>44</v>
      </c>
      <c r="O21" s="62"/>
    </row>
    <row r="22" s="1" customFormat="1" ht="18" customHeight="1" spans="1:15">
      <c r="A22" s="35">
        <v>43831</v>
      </c>
      <c r="B22" s="17">
        <f t="shared" si="7"/>
        <v>42840.71</v>
      </c>
      <c r="C22" s="36"/>
      <c r="D22" s="37" t="s">
        <v>36</v>
      </c>
      <c r="E22" s="38">
        <v>0.13</v>
      </c>
      <c r="F22" s="17">
        <f t="shared" si="8"/>
        <v>5569.29</v>
      </c>
      <c r="G22" s="39">
        <v>48410</v>
      </c>
      <c r="H22" s="22"/>
      <c r="I22" s="23"/>
      <c r="J22" s="59"/>
      <c r="K22" s="61" t="s">
        <v>55</v>
      </c>
      <c r="L22" s="62" t="s">
        <v>56</v>
      </c>
      <c r="M22" s="63"/>
      <c r="N22" s="63" t="s">
        <v>57</v>
      </c>
      <c r="O22" s="62"/>
    </row>
    <row r="23" s="1" customFormat="1" ht="18" customHeight="1" spans="1:15">
      <c r="A23" s="35">
        <v>43831</v>
      </c>
      <c r="B23" s="17">
        <f t="shared" si="7"/>
        <v>8389.38</v>
      </c>
      <c r="C23" s="36"/>
      <c r="D23" s="37" t="s">
        <v>36</v>
      </c>
      <c r="E23" s="38">
        <v>0.13</v>
      </c>
      <c r="F23" s="17">
        <f t="shared" si="8"/>
        <v>1090.62</v>
      </c>
      <c r="G23" s="39">
        <v>9480</v>
      </c>
      <c r="H23" s="22"/>
      <c r="I23" s="23"/>
      <c r="J23" s="59"/>
      <c r="K23" s="61" t="s">
        <v>58</v>
      </c>
      <c r="L23" s="62" t="s">
        <v>59</v>
      </c>
      <c r="M23" s="63" t="s">
        <v>60</v>
      </c>
      <c r="N23" s="63" t="s">
        <v>44</v>
      </c>
      <c r="O23" s="62"/>
    </row>
    <row r="24" s="1" customFormat="1" ht="18" customHeight="1" spans="1:15">
      <c r="A24" s="35">
        <v>43831</v>
      </c>
      <c r="B24" s="17">
        <f t="shared" si="7"/>
        <v>19165.05</v>
      </c>
      <c r="C24" s="36"/>
      <c r="D24" s="37" t="s">
        <v>36</v>
      </c>
      <c r="E24" s="38">
        <v>0.03</v>
      </c>
      <c r="F24" s="17">
        <f t="shared" si="8"/>
        <v>574.95</v>
      </c>
      <c r="G24" s="39">
        <v>19740</v>
      </c>
      <c r="H24" s="22"/>
      <c r="I24" s="23"/>
      <c r="J24" s="59"/>
      <c r="K24" s="61" t="s">
        <v>61</v>
      </c>
      <c r="L24" s="62" t="s">
        <v>62</v>
      </c>
      <c r="M24" s="63"/>
      <c r="N24" s="63" t="s">
        <v>57</v>
      </c>
      <c r="O24" s="62"/>
    </row>
    <row r="25" s="1" customFormat="1" ht="18" customHeight="1" spans="1:15">
      <c r="A25" s="35">
        <v>43831</v>
      </c>
      <c r="B25" s="17">
        <f t="shared" si="7"/>
        <v>458715.6</v>
      </c>
      <c r="C25" s="36"/>
      <c r="D25" s="37" t="s">
        <v>36</v>
      </c>
      <c r="E25" s="38">
        <v>0.09</v>
      </c>
      <c r="F25" s="17">
        <f t="shared" si="8"/>
        <v>41284.4</v>
      </c>
      <c r="G25" s="39">
        <f>500000</f>
        <v>500000</v>
      </c>
      <c r="H25" s="22">
        <v>43852</v>
      </c>
      <c r="I25" s="23">
        <v>500000</v>
      </c>
      <c r="J25" s="59" t="s">
        <v>21</v>
      </c>
      <c r="K25" s="61" t="s">
        <v>63</v>
      </c>
      <c r="L25" s="62" t="s">
        <v>64</v>
      </c>
      <c r="M25" s="63" t="s">
        <v>44</v>
      </c>
      <c r="N25" s="63" t="s">
        <v>44</v>
      </c>
      <c r="O25" s="62"/>
    </row>
    <row r="26" s="1" customFormat="1" ht="18" customHeight="1" spans="1:15">
      <c r="A26" s="35">
        <v>43831</v>
      </c>
      <c r="B26" s="17">
        <f t="shared" si="7"/>
        <v>477064.22</v>
      </c>
      <c r="C26" s="36"/>
      <c r="D26" s="37" t="s">
        <v>36</v>
      </c>
      <c r="E26" s="38">
        <v>0.09</v>
      </c>
      <c r="F26" s="17">
        <f t="shared" si="8"/>
        <v>42935.78</v>
      </c>
      <c r="G26" s="27">
        <v>520000</v>
      </c>
      <c r="H26" s="22">
        <v>43852</v>
      </c>
      <c r="I26" s="23">
        <v>520000</v>
      </c>
      <c r="J26" s="59" t="s">
        <v>21</v>
      </c>
      <c r="K26" s="61" t="s">
        <v>65</v>
      </c>
      <c r="L26" s="62" t="s">
        <v>66</v>
      </c>
      <c r="M26" s="63" t="s">
        <v>44</v>
      </c>
      <c r="N26" s="63" t="s">
        <v>44</v>
      </c>
      <c r="O26" s="62"/>
    </row>
    <row r="27" s="1" customFormat="1" ht="18" customHeight="1" spans="1:15">
      <c r="A27" s="35">
        <v>43831</v>
      </c>
      <c r="B27" s="17">
        <f t="shared" si="7"/>
        <v>217260</v>
      </c>
      <c r="C27" s="36"/>
      <c r="D27" s="37" t="s">
        <v>45</v>
      </c>
      <c r="E27" s="40"/>
      <c r="F27" s="17">
        <f t="shared" si="8"/>
        <v>0</v>
      </c>
      <c r="G27" s="27">
        <f>59160+98600+59500</f>
        <v>217260</v>
      </c>
      <c r="H27" s="22"/>
      <c r="I27" s="23"/>
      <c r="J27" s="59"/>
      <c r="K27" s="61" t="s">
        <v>67</v>
      </c>
      <c r="L27" s="62" t="s">
        <v>68</v>
      </c>
      <c r="M27" s="63"/>
      <c r="N27" s="63"/>
      <c r="O27" s="62"/>
    </row>
    <row r="28" s="1" customFormat="1" ht="18" customHeight="1" spans="1:15">
      <c r="A28" s="35">
        <v>43831</v>
      </c>
      <c r="B28" s="17">
        <f t="shared" si="7"/>
        <v>113565</v>
      </c>
      <c r="C28" s="36"/>
      <c r="D28" s="37" t="s">
        <v>45</v>
      </c>
      <c r="E28" s="40"/>
      <c r="F28" s="17">
        <f t="shared" si="8"/>
        <v>0</v>
      </c>
      <c r="G28" s="27">
        <f>60065+53500</f>
        <v>113565</v>
      </c>
      <c r="H28" s="22">
        <v>43852</v>
      </c>
      <c r="I28" s="23">
        <v>363490</v>
      </c>
      <c r="J28" s="59" t="s">
        <v>21</v>
      </c>
      <c r="K28" s="61" t="s">
        <v>46</v>
      </c>
      <c r="L28" s="62" t="s">
        <v>69</v>
      </c>
      <c r="M28" s="63"/>
      <c r="N28" s="63"/>
      <c r="O28" s="62"/>
    </row>
    <row r="29" s="1" customFormat="1" ht="18" customHeight="1" spans="1:15">
      <c r="A29" s="35">
        <v>43831</v>
      </c>
      <c r="B29" s="17">
        <f t="shared" si="7"/>
        <v>509165.05</v>
      </c>
      <c r="C29" s="36"/>
      <c r="D29" s="37" t="s">
        <v>36</v>
      </c>
      <c r="E29" s="38">
        <v>0.03</v>
      </c>
      <c r="F29" s="17">
        <f t="shared" si="8"/>
        <v>15274.95</v>
      </c>
      <c r="G29" s="27">
        <v>524440</v>
      </c>
      <c r="H29" s="22">
        <v>43852</v>
      </c>
      <c r="I29" s="23">
        <v>397578.6</v>
      </c>
      <c r="J29" s="59" t="s">
        <v>21</v>
      </c>
      <c r="K29" s="61" t="s">
        <v>70</v>
      </c>
      <c r="L29" s="62" t="s">
        <v>71</v>
      </c>
      <c r="M29" s="63" t="s">
        <v>44</v>
      </c>
      <c r="N29" s="63"/>
      <c r="O29" s="62"/>
    </row>
    <row r="30" s="1" customFormat="1" ht="18" customHeight="1" spans="1:15">
      <c r="A30" s="35"/>
      <c r="B30" s="17">
        <f t="shared" si="7"/>
        <v>0</v>
      </c>
      <c r="C30" s="36"/>
      <c r="D30" s="37"/>
      <c r="E30" s="40"/>
      <c r="F30" s="17">
        <f t="shared" si="8"/>
        <v>0</v>
      </c>
      <c r="G30" s="27"/>
      <c r="H30" s="22"/>
      <c r="I30" s="23"/>
      <c r="J30" s="59"/>
      <c r="K30" s="61"/>
      <c r="L30" s="62"/>
      <c r="M30" s="63"/>
      <c r="N30" s="63"/>
      <c r="O30" s="62"/>
    </row>
    <row r="31" s="1" customFormat="1" ht="18" customHeight="1" spans="1:15">
      <c r="A31" s="35"/>
      <c r="B31" s="17">
        <f t="shared" ref="B31:B37" si="9">ROUND(G31/(1+E31),2)</f>
        <v>0</v>
      </c>
      <c r="C31" s="36"/>
      <c r="D31" s="37"/>
      <c r="E31" s="40"/>
      <c r="F31" s="17">
        <f t="shared" ref="F31:F37" si="10">ROUND(G31/(1+E31)*E31,2)</f>
        <v>0</v>
      </c>
      <c r="G31" s="27"/>
      <c r="H31" s="22" t="s">
        <v>72</v>
      </c>
      <c r="I31" s="23">
        <v>600</v>
      </c>
      <c r="J31" s="59" t="s">
        <v>73</v>
      </c>
      <c r="K31" s="61" t="s">
        <v>74</v>
      </c>
      <c r="L31" s="62"/>
      <c r="M31" s="63"/>
      <c r="N31" s="63"/>
      <c r="O31" s="62"/>
    </row>
    <row r="32" s="1" customFormat="1" ht="18" customHeight="1" spans="1:15">
      <c r="A32" s="35"/>
      <c r="B32" s="17">
        <f t="shared" si="9"/>
        <v>0</v>
      </c>
      <c r="C32" s="36"/>
      <c r="D32" s="37"/>
      <c r="E32" s="40"/>
      <c r="F32" s="17">
        <f t="shared" si="10"/>
        <v>0</v>
      </c>
      <c r="G32" s="27"/>
      <c r="H32" s="22" t="s">
        <v>72</v>
      </c>
      <c r="I32" s="23">
        <v>36800</v>
      </c>
      <c r="J32" s="59" t="s">
        <v>73</v>
      </c>
      <c r="K32" s="61" t="s">
        <v>75</v>
      </c>
      <c r="L32" s="62"/>
      <c r="M32" s="63"/>
      <c r="N32" s="63"/>
      <c r="O32" s="62"/>
    </row>
    <row r="33" s="1" customFormat="1" ht="18" customHeight="1" spans="1:15">
      <c r="A33" s="35"/>
      <c r="B33" s="17">
        <f t="shared" si="9"/>
        <v>0</v>
      </c>
      <c r="C33" s="36"/>
      <c r="D33" s="37"/>
      <c r="E33" s="40"/>
      <c r="F33" s="17">
        <f t="shared" si="10"/>
        <v>0</v>
      </c>
      <c r="G33" s="27"/>
      <c r="H33" s="22" t="s">
        <v>72</v>
      </c>
      <c r="I33" s="23">
        <v>1267</v>
      </c>
      <c r="J33" s="59" t="s">
        <v>73</v>
      </c>
      <c r="K33" s="61" t="s">
        <v>76</v>
      </c>
      <c r="L33" s="62"/>
      <c r="M33" s="63"/>
      <c r="N33" s="63"/>
      <c r="O33" s="62"/>
    </row>
    <row r="34" s="1" customFormat="1" ht="18" customHeight="1" spans="1:15">
      <c r="A34" s="35"/>
      <c r="B34" s="17">
        <f t="shared" si="9"/>
        <v>0</v>
      </c>
      <c r="C34" s="36"/>
      <c r="D34" s="37"/>
      <c r="E34" s="40"/>
      <c r="F34" s="17">
        <f t="shared" si="10"/>
        <v>0</v>
      </c>
      <c r="G34" s="27"/>
      <c r="H34" s="22" t="s">
        <v>72</v>
      </c>
      <c r="I34" s="23">
        <v>8000</v>
      </c>
      <c r="J34" s="59" t="s">
        <v>73</v>
      </c>
      <c r="K34" s="61" t="s">
        <v>77</v>
      </c>
      <c r="L34" s="62"/>
      <c r="M34" s="63"/>
      <c r="N34" s="63"/>
      <c r="O34" s="62"/>
    </row>
    <row r="35" s="1" customFormat="1" ht="18" customHeight="1" spans="1:15">
      <c r="A35" s="35"/>
      <c r="B35" s="17">
        <f t="shared" si="9"/>
        <v>151986.4</v>
      </c>
      <c r="C35" s="36"/>
      <c r="D35" s="37"/>
      <c r="E35" s="40"/>
      <c r="F35" s="17">
        <f t="shared" si="10"/>
        <v>0</v>
      </c>
      <c r="G35" s="27">
        <f>151986.4</f>
        <v>151986.4</v>
      </c>
      <c r="H35" s="22" t="s">
        <v>72</v>
      </c>
      <c r="I35" s="23">
        <f>G35</f>
        <v>151986.4</v>
      </c>
      <c r="J35" s="59" t="s">
        <v>73</v>
      </c>
      <c r="K35" s="61" t="s">
        <v>78</v>
      </c>
      <c r="L35" s="62"/>
      <c r="M35" s="63"/>
      <c r="N35" s="63"/>
      <c r="O35" s="62"/>
    </row>
    <row r="36" s="1" customFormat="1" ht="18" customHeight="1" spans="1:15">
      <c r="A36" s="35"/>
      <c r="B36" s="17">
        <f t="shared" si="9"/>
        <v>0</v>
      </c>
      <c r="C36" s="36"/>
      <c r="D36" s="37"/>
      <c r="E36" s="40"/>
      <c r="F36" s="17">
        <f t="shared" si="10"/>
        <v>0</v>
      </c>
      <c r="G36" s="27"/>
      <c r="H36" s="22"/>
      <c r="I36" s="23"/>
      <c r="J36" s="59"/>
      <c r="K36" s="61"/>
      <c r="L36" s="62"/>
      <c r="M36" s="63"/>
      <c r="N36" s="63"/>
      <c r="O36" s="62"/>
    </row>
    <row r="37" s="1" customFormat="1" ht="18" customHeight="1" spans="1:15">
      <c r="A37" s="35"/>
      <c r="B37" s="17">
        <f t="shared" si="9"/>
        <v>0</v>
      </c>
      <c r="C37" s="36"/>
      <c r="D37" s="37"/>
      <c r="E37" s="40"/>
      <c r="F37" s="17">
        <f t="shared" si="10"/>
        <v>0</v>
      </c>
      <c r="G37" s="27"/>
      <c r="H37" s="22"/>
      <c r="I37" s="23"/>
      <c r="J37" s="59"/>
      <c r="K37" s="61"/>
      <c r="L37" s="62"/>
      <c r="M37" s="63"/>
      <c r="N37" s="63"/>
      <c r="O37" s="62"/>
    </row>
    <row r="38" ht="18" customHeight="1" spans="1:15">
      <c r="A38" s="30" t="s">
        <v>22</v>
      </c>
      <c r="B38" s="29">
        <f>SUM(B14:B37)</f>
        <v>2578847.51</v>
      </c>
      <c r="C38" s="30"/>
      <c r="D38" s="44"/>
      <c r="E38" s="44"/>
      <c r="F38" s="32">
        <f>SUM(F14:F37)</f>
        <v>148190.89</v>
      </c>
      <c r="G38" s="45">
        <f>SUM(G14:G37)</f>
        <v>2727038.4</v>
      </c>
      <c r="H38" s="46"/>
      <c r="I38" s="31">
        <f>SUM(I14:I37)</f>
        <v>2300000</v>
      </c>
      <c r="J38" s="64"/>
      <c r="K38" s="44"/>
      <c r="L38" s="33"/>
      <c r="M38" s="59"/>
      <c r="N38" s="59"/>
      <c r="O38" s="33"/>
    </row>
    <row r="39" ht="18" customHeight="1" spans="1:14">
      <c r="A39" s="47" t="s">
        <v>79</v>
      </c>
      <c r="B39" s="48">
        <f>B11*0.984</f>
        <v>2076330.27522936</v>
      </c>
      <c r="C39" s="47"/>
      <c r="D39" s="49"/>
      <c r="E39" s="49"/>
      <c r="F39" s="48"/>
      <c r="G39" s="48">
        <f>G11-G38</f>
        <v>-427038.4</v>
      </c>
      <c r="H39" s="21" t="s">
        <v>80</v>
      </c>
      <c r="I39" s="31">
        <f>I11-I38</f>
        <v>0</v>
      </c>
      <c r="J39" s="6"/>
      <c r="K39" s="65"/>
      <c r="M39" s="66"/>
      <c r="N39" s="66"/>
    </row>
    <row r="40" ht="18" customHeight="1" spans="1:14">
      <c r="A40" s="47" t="s">
        <v>81</v>
      </c>
      <c r="B40" s="48">
        <f>B39-B38</f>
        <v>-502517.23477064</v>
      </c>
      <c r="C40" s="47"/>
      <c r="D40" s="49"/>
      <c r="E40" s="49"/>
      <c r="F40" s="48"/>
      <c r="G40" s="48"/>
      <c r="H40" s="50"/>
      <c r="I40" s="48"/>
      <c r="J40" s="6"/>
      <c r="K40" s="65"/>
      <c r="M40" s="66"/>
      <c r="N40" s="66"/>
    </row>
    <row r="41" ht="18" customHeight="1" spans="1:3">
      <c r="A41" s="2" t="s">
        <v>82</v>
      </c>
      <c r="C41" s="2"/>
    </row>
    <row r="42" ht="18" customHeight="1" spans="1:8">
      <c r="A42" s="21" t="s">
        <v>83</v>
      </c>
      <c r="B42" s="20" t="s">
        <v>84</v>
      </c>
      <c r="C42" s="33"/>
      <c r="D42" s="21" t="s">
        <v>83</v>
      </c>
      <c r="E42" s="19" t="s">
        <v>16</v>
      </c>
      <c r="F42" s="20" t="s">
        <v>84</v>
      </c>
      <c r="G42" s="3" t="s">
        <v>85</v>
      </c>
      <c r="H42" s="20" t="s">
        <v>86</v>
      </c>
    </row>
    <row r="43" ht="18" customHeight="1" spans="1:8">
      <c r="A43" s="33" t="s">
        <v>87</v>
      </c>
      <c r="B43" s="17">
        <f>(B39-B38)*0.25</f>
        <v>-125629.30869266</v>
      </c>
      <c r="C43" s="33"/>
      <c r="D43" s="28" t="s">
        <v>88</v>
      </c>
      <c r="E43" s="21" t="s">
        <v>89</v>
      </c>
      <c r="F43" s="32">
        <f>F11-F38</f>
        <v>-484.467981651018</v>
      </c>
      <c r="G43" s="51">
        <v>14790.4820183486</v>
      </c>
      <c r="H43" s="32">
        <v>0</v>
      </c>
    </row>
    <row r="44" ht="18" customHeight="1" spans="1:8">
      <c r="A44" s="33" t="s">
        <v>90</v>
      </c>
      <c r="B44" s="52" t="s">
        <v>91</v>
      </c>
      <c r="C44" s="33"/>
      <c r="D44" s="53" t="s">
        <v>92</v>
      </c>
      <c r="E44" s="13">
        <v>0.05</v>
      </c>
      <c r="F44" s="23">
        <f>F43*E44</f>
        <v>-24.2233990825509</v>
      </c>
      <c r="G44" s="3">
        <v>739.524100917431</v>
      </c>
      <c r="H44" s="23">
        <v>0</v>
      </c>
    </row>
    <row r="45" ht="18" customHeight="1" spans="1:8">
      <c r="A45" s="33" t="s">
        <v>76</v>
      </c>
      <c r="B45" s="52"/>
      <c r="C45" s="33"/>
      <c r="D45" s="53" t="s">
        <v>93</v>
      </c>
      <c r="E45" s="13">
        <v>0.03</v>
      </c>
      <c r="F45" s="23">
        <f>F43*E45</f>
        <v>-14.5340394495305</v>
      </c>
      <c r="G45" s="3">
        <v>443.714460550458</v>
      </c>
      <c r="H45" s="23">
        <v>0</v>
      </c>
    </row>
    <row r="46" ht="18" customHeight="1" spans="1:8">
      <c r="A46" s="33"/>
      <c r="B46" s="23"/>
      <c r="C46" s="33"/>
      <c r="D46" s="53" t="s">
        <v>94</v>
      </c>
      <c r="E46" s="13">
        <v>0.02</v>
      </c>
      <c r="F46" s="23">
        <f>F43*E46</f>
        <v>-9.68935963302036</v>
      </c>
      <c r="G46" s="3">
        <v>295.809640366972</v>
      </c>
      <c r="H46" s="23">
        <v>0</v>
      </c>
    </row>
    <row r="47" ht="18" customHeight="1" spans="1:8">
      <c r="A47" s="28" t="s">
        <v>95</v>
      </c>
      <c r="B47" s="29">
        <f>SUM(B43:B46)</f>
        <v>-125629.30869266</v>
      </c>
      <c r="C47" s="33"/>
      <c r="D47" s="34" t="s">
        <v>95</v>
      </c>
      <c r="E47" s="28"/>
      <c r="F47" s="32">
        <f>SUM(F43:F46)</f>
        <v>-532.91477981612</v>
      </c>
      <c r="G47" s="51">
        <v>16269.5302201835</v>
      </c>
      <c r="H47" s="32">
        <v>0</v>
      </c>
    </row>
    <row r="48" ht="18" customHeight="1" spans="3:8">
      <c r="C48" s="2"/>
      <c r="D48" s="11" t="s">
        <v>90</v>
      </c>
      <c r="E48" s="54">
        <v>0.0003</v>
      </c>
      <c r="F48" s="23">
        <f>G11*E48</f>
        <v>690</v>
      </c>
      <c r="G48" s="3" t="s">
        <v>96</v>
      </c>
      <c r="H48" s="23"/>
    </row>
    <row r="49" ht="18" customHeight="1" spans="3:8">
      <c r="C49" s="2"/>
      <c r="D49" s="11" t="s">
        <v>76</v>
      </c>
      <c r="E49" s="54">
        <v>0.0006</v>
      </c>
      <c r="F49" s="23">
        <f>B11*E49</f>
        <v>1266.05504587156</v>
      </c>
      <c r="G49" s="55" t="s">
        <v>97</v>
      </c>
      <c r="H49" s="23">
        <f>SUM(B7:B8)*E49</f>
        <v>1266.05504587156</v>
      </c>
    </row>
    <row r="50" ht="18" customHeight="1" spans="3:8">
      <c r="C50" s="2"/>
      <c r="D50" s="19" t="s">
        <v>95</v>
      </c>
      <c r="E50" s="44"/>
      <c r="F50" s="31">
        <f>F49+F48</f>
        <v>1956.05504587156</v>
      </c>
      <c r="H50" s="31">
        <f>H49</f>
        <v>1266.05504587156</v>
      </c>
    </row>
    <row r="51" ht="18" customHeight="1" spans="3:8">
      <c r="C51" s="2"/>
      <c r="D51" s="19" t="s">
        <v>22</v>
      </c>
      <c r="E51" s="30"/>
      <c r="F51" s="31">
        <f>F47+F50</f>
        <v>1423.14026605544</v>
      </c>
      <c r="H51" s="31">
        <f>H47+H50</f>
        <v>1266.05504587156</v>
      </c>
    </row>
    <row r="52" ht="18" customHeight="1" spans="3:8">
      <c r="C52" s="2"/>
      <c r="D52" s="30" t="s">
        <v>87</v>
      </c>
      <c r="E52" s="44">
        <v>0.016</v>
      </c>
      <c r="F52" s="31">
        <f>B11*E52</f>
        <v>33761.4678899083</v>
      </c>
      <c r="H52" s="31">
        <f>SUM(G7:G8)*E52</f>
        <v>36800</v>
      </c>
    </row>
    <row r="53" ht="18" customHeight="1" spans="3:3">
      <c r="C53" s="2"/>
    </row>
    <row r="54" ht="18" customHeight="1" spans="3:3">
      <c r="C54" s="2"/>
    </row>
    <row r="55" ht="18" customHeight="1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2022-04-07T07:10:03Z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0F7FFFD453D9420CB64F8182C3617633</vt:lpwstr>
  </property>
</Properties>
</file>