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新" sheetId="2" r:id="rId1"/>
    <sheet name="旧" sheetId="1" r:id="rId2"/>
  </sheets>
  <definedNames>
    <definedName name="_xlnm._FilterDatabase" localSheetId="0" hidden="1">新!$A$13:$S$183</definedName>
    <definedName name="_xlnm._FilterDatabase" localSheetId="1" hidden="1">旧!$A$13:$S$167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</authors>
  <commentList>
    <comment ref="A173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74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A159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60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<sst xmlns="http://schemas.openxmlformats.org/spreadsheetml/2006/main" count="1082" uniqueCount="216">
  <si>
    <t>浉河区浉河港至四望山红色旅游公路改建工程项目</t>
  </si>
  <si>
    <t>中标日期</t>
  </si>
  <si>
    <t>中标价</t>
  </si>
  <si>
    <t>负责人</t>
  </si>
  <si>
    <t>李想</t>
  </si>
  <si>
    <t>建设单位</t>
  </si>
  <si>
    <t>决算日期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</si>
  <si>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</si>
  <si>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</si>
  <si>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</si>
  <si>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</si>
  <si>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</si>
  <si>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</si>
  <si>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</si>
  <si>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</si>
  <si>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</si>
  <si>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</si>
  <si>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</si>
  <si>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</si>
  <si>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 xml:space="preserve"> 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</si>
  <si>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</si>
  <si>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</si>
  <si>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</si>
  <si>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</si>
  <si>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</si>
  <si>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</si>
  <si>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</si>
  <si>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</si>
  <si>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</si>
  <si>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</si>
  <si>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</si>
  <si>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</si>
  <si>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</si>
  <si>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</si>
  <si>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普</t>
  </si>
  <si>
    <t>油票</t>
  </si>
  <si>
    <t>计算器、安全带等</t>
  </si>
  <si>
    <t>零星采购</t>
  </si>
  <si>
    <t>平桥区雄达钢材经营部</t>
  </si>
  <si>
    <t>方管487支</t>
  </si>
  <si>
    <t>专</t>
  </si>
  <si>
    <t>信阳元和电器有限公司</t>
  </si>
  <si>
    <t>空调10套</t>
  </si>
  <si>
    <t xml:space="preserve">   </t>
  </si>
  <si>
    <t>空调1套</t>
  </si>
  <si>
    <t>郑州南方测绘信息科技有限公司</t>
  </si>
  <si>
    <t>维修费</t>
  </si>
  <si>
    <t>信阳市浉河区双井何寨加油站</t>
  </si>
  <si>
    <t>柴油182.149升</t>
  </si>
  <si>
    <t>信阳市浉河区鑫垒日杂劳保经营部</t>
  </si>
  <si>
    <t>防尘网200卷</t>
  </si>
  <si>
    <t>零星材料</t>
  </si>
  <si>
    <t>工作证、打印复印、试验费</t>
  </si>
  <si>
    <t>加油票</t>
  </si>
  <si>
    <t>信阳市平桥区银钱加油站</t>
  </si>
  <si>
    <t>柴油</t>
  </si>
  <si>
    <t>防尘网</t>
  </si>
  <si>
    <t>柴油186863.406升</t>
  </si>
  <si>
    <t>上海海山投资有限公司山海商务酒店、武汉港业企业管理有限公司</t>
  </si>
  <si>
    <t>住宿费</t>
  </si>
  <si>
    <t>信阳市浉河区先锋科技电脑部</t>
  </si>
  <si>
    <t>办公用品</t>
  </si>
  <si>
    <t>信阳市平桥区远踏工程机械租赁中心</t>
  </si>
  <si>
    <t>机械租赁</t>
  </si>
  <si>
    <t>信阳市大江工程机械有限公司</t>
  </si>
  <si>
    <t>信阳宏兵公路养护有限公司</t>
  </si>
  <si>
    <t>片石挡墙</t>
  </si>
  <si>
    <t>有总合同</t>
  </si>
  <si>
    <t>中行</t>
  </si>
  <si>
    <t>信阳市泰林实业有限公司</t>
  </si>
  <si>
    <t>混凝土</t>
  </si>
  <si>
    <t>徽行</t>
  </si>
  <si>
    <t>魏敬宗</t>
  </si>
  <si>
    <t>收代付材料款</t>
  </si>
  <si>
    <t>信阳市大江工程机械有限工资</t>
  </si>
  <si>
    <t>机械费</t>
  </si>
  <si>
    <t>信阳茗山茗水实业有限公司</t>
  </si>
  <si>
    <t>工程款</t>
  </si>
  <si>
    <t>河南省荣进建筑劳务有限公司</t>
  </si>
  <si>
    <t>挡土墙工程款</t>
  </si>
  <si>
    <t>燃油</t>
  </si>
  <si>
    <t xml:space="preserve">2020-084# </t>
  </si>
  <si>
    <t>合同价2349000元</t>
  </si>
  <si>
    <t>信阳中威工程机械有限公司</t>
  </si>
  <si>
    <t>信阳宏友工程机械有限公司</t>
  </si>
  <si>
    <t>信阳太福建筑土方工程有限责任公司</t>
  </si>
  <si>
    <t>信阳市华玉建筑劳务有限公司</t>
  </si>
  <si>
    <t>路基</t>
  </si>
  <si>
    <t>信阳市双龙水泥制品有限公司</t>
  </si>
  <si>
    <t>水泥</t>
  </si>
  <si>
    <t>劳务（片石挡土墙)</t>
  </si>
  <si>
    <t>有27万</t>
  </si>
  <si>
    <t>柴油23847.3766升</t>
  </si>
  <si>
    <t>商品混凝土950.34立方</t>
  </si>
  <si>
    <t>有</t>
  </si>
  <si>
    <t>普、机打</t>
  </si>
  <si>
    <t>信阳市平桥区金万达交通安全设施设计服务中心</t>
  </si>
  <si>
    <t>反光施工牌</t>
  </si>
  <si>
    <t>有收据</t>
  </si>
  <si>
    <t>运输费</t>
  </si>
  <si>
    <t>有120万</t>
  </si>
  <si>
    <t>有运输单</t>
  </si>
  <si>
    <t>税代开专票</t>
  </si>
  <si>
    <t>劳务费</t>
  </si>
  <si>
    <t>2020-138#  150000元</t>
  </si>
  <si>
    <t>有结算单</t>
  </si>
  <si>
    <t>有1836180万</t>
  </si>
  <si>
    <t>信阳鸿霖隆建筑装饰有限公司</t>
  </si>
  <si>
    <t>劳务</t>
  </si>
  <si>
    <t>金额126420元普票</t>
  </si>
  <si>
    <t>无合同（待补签）</t>
  </si>
  <si>
    <t>已退回2020.7.6</t>
  </si>
  <si>
    <t>信阳市医药（集团）有限责任公司</t>
  </si>
  <si>
    <t>红外线体温计</t>
  </si>
  <si>
    <t>信阳市浉河区海兴汽车装饰部</t>
  </si>
  <si>
    <t>汽车维修与保养</t>
  </si>
  <si>
    <t xml:space="preserve">  </t>
  </si>
  <si>
    <t>信阳市浉河区鑫垒日杂劳保经营部（代开）</t>
  </si>
  <si>
    <t>信阳市浉河区浉河港加油站</t>
  </si>
  <si>
    <t>油</t>
  </si>
  <si>
    <t>临时采购，未签订合同</t>
  </si>
  <si>
    <t>信阳天宇测绘科技有限公司</t>
  </si>
  <si>
    <t>对讲机</t>
  </si>
  <si>
    <t>柴油0#</t>
  </si>
  <si>
    <t>乙醇汽油92#</t>
  </si>
  <si>
    <t>信阳市浉河区先锋办公机具店</t>
  </si>
  <si>
    <t>电脑</t>
  </si>
  <si>
    <t>信阳市浉河区文清电脑耗材经营部</t>
  </si>
  <si>
    <t>文具</t>
  </si>
  <si>
    <t>信阳市浉河区中华商店八一路店</t>
  </si>
  <si>
    <t>水壶，迷彩服</t>
  </si>
  <si>
    <t>2020-139#，120w</t>
  </si>
  <si>
    <t xml:space="preserve">2020-138#  </t>
  </si>
  <si>
    <t>合同价150000元</t>
  </si>
  <si>
    <t>零星支出</t>
  </si>
  <si>
    <t>迷彩服</t>
  </si>
  <si>
    <t>邮费</t>
  </si>
  <si>
    <t>油费</t>
  </si>
  <si>
    <t>信阳市铭源九信建材有限公司</t>
  </si>
  <si>
    <t>2019-495#</t>
  </si>
  <si>
    <t>信阳市浉河区信应路加油站</t>
  </si>
  <si>
    <t>信阳市羊山新区永兴工程机械电器经营部</t>
  </si>
  <si>
    <t>机械租赁费</t>
  </si>
  <si>
    <t>信阳毅程建材有限公司</t>
  </si>
  <si>
    <t>石子</t>
  </si>
  <si>
    <t>2020-057#  7138185元</t>
  </si>
  <si>
    <t>石粉</t>
  </si>
  <si>
    <t>中粗砂</t>
  </si>
  <si>
    <t>信阳市农程建筑劳务有限公司</t>
  </si>
  <si>
    <t>石渣基层</t>
  </si>
  <si>
    <t>2020-141# 2507400元</t>
  </si>
  <si>
    <t>税点不对，合同重签</t>
  </si>
  <si>
    <t>混凝土路面</t>
  </si>
  <si>
    <t>刘传谋</t>
  </si>
  <si>
    <t>零星支出（汽车保养，维修配件）</t>
  </si>
  <si>
    <t>零星支出（碳粉）</t>
  </si>
  <si>
    <t>零星支出（住宿费）</t>
  </si>
  <si>
    <t>机打发票</t>
  </si>
  <si>
    <t>零星支出（油票）</t>
  </si>
  <si>
    <t>部分发票名称不对，金额345.38元，已退回 2021.1.4</t>
  </si>
  <si>
    <t>信阳祖石岭实业有限公司</t>
  </si>
  <si>
    <t>砂石</t>
  </si>
  <si>
    <t>零星支出（收派服务费）</t>
  </si>
  <si>
    <t>柴油（有收据）</t>
  </si>
  <si>
    <t>2020-623#  2084400元</t>
  </si>
  <si>
    <t>2019-495#  5260000元</t>
  </si>
  <si>
    <t>零星支出（汽油）</t>
  </si>
  <si>
    <t>2020-137# 1200000元</t>
  </si>
  <si>
    <t>2020-139# 1200000元</t>
  </si>
  <si>
    <t>2020-389# 200000元</t>
  </si>
  <si>
    <t>2019-808# 560000元</t>
  </si>
  <si>
    <t>中国邮政集团有限公司信阳市分公司（刘传谋）</t>
  </si>
  <si>
    <t>广告牌</t>
  </si>
  <si>
    <t>反光标牌</t>
  </si>
  <si>
    <t>信阳市浉河区连盛办公设备经营部</t>
  </si>
  <si>
    <t>打印机</t>
  </si>
  <si>
    <t>2020-084#  2349000元</t>
  </si>
  <si>
    <t>零星支出（音箱）</t>
  </si>
  <si>
    <t>魏敬宗转款</t>
  </si>
  <si>
    <t>合作人转周转金</t>
  </si>
  <si>
    <t>挖掘机租赁费</t>
  </si>
  <si>
    <t>2020.8.5</t>
  </si>
  <si>
    <t>挖机租赁费</t>
  </si>
  <si>
    <t>劳务（挡土墙工程）</t>
  </si>
  <si>
    <t>中国石化销售股份有限公司河南信阳石油分公司</t>
  </si>
  <si>
    <t>加油费</t>
  </si>
  <si>
    <t>信阳市昊安消防器材有限公司、河南卓绘勘测技术有限公司、信阳市浉河区中华商店八一路店、信阳市浉河区华伦天奴泰勒经销商</t>
  </si>
  <si>
    <t>灭火器、对讲机、迷彩服、水壶、床上用品</t>
  </si>
  <si>
    <t>信阳星辉汽车服务有限公司、信阳永新机动车检测有限公司、中国石化销售股份有限公司河南信阳石油分公司</t>
  </si>
  <si>
    <t>修理修配劳务、机动车检测费、乙醇汽油92</t>
  </si>
  <si>
    <t>信阳成就数码电子有限公司</t>
  </si>
  <si>
    <t>联想笔记本、复印机</t>
  </si>
  <si>
    <t>1次</t>
  </si>
  <si>
    <t>王光如卡</t>
  </si>
  <si>
    <t>收财务手续费</t>
  </si>
  <si>
    <t>扣</t>
  </si>
  <si>
    <t>财务手续费</t>
  </si>
  <si>
    <t>应提供成本</t>
  </si>
  <si>
    <t>可支付金额</t>
  </si>
  <si>
    <t>尚需提供成本</t>
  </si>
  <si>
    <t>公司代缴税金：</t>
  </si>
  <si>
    <t>税种</t>
  </si>
  <si>
    <t>税额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</si>
  <si>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</si>
  <si>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</si>
  <si>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</si>
  <si>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</si>
  <si>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</si>
  <si>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</si>
  <si>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</si>
  <si>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</si>
  <si>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</si>
  <si>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 xml:space="preserve">        </t>
  </si>
  <si>
    <t xml:space="preserve">      </t>
  </si>
  <si>
    <t>缺收据</t>
  </si>
  <si>
    <t>合作人转款（材料款周转金）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</si>
</sst>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/m/d;@"/>
    <numFmt numFmtId="177" formatCode="0.00_ "/>
    <numFmt numFmtId="178" formatCode="#,##0.00_ "/>
    <numFmt numFmtId="179" formatCode="yyyy&quot;年&quot;m&quot;月&quot;;@"/>
    <numFmt numFmtId="180" formatCode="#,##0_ "/>
  </numFmts>
  <fonts count="33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10"/>
      <name val="宋体"/>
      <charset val="134"/>
      <scheme val="minor"/>
    </font>
    <font>
      <sz val="9"/>
      <color theme="1" tint="0.05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15" borderId="11" applyNumberFormat="0" applyAlignment="0" applyProtection="0">
      <alignment vertical="center"/>
    </xf>
    <xf numFmtId="0" fontId="28" fillId="15" borderId="10" applyNumberFormat="0" applyAlignment="0" applyProtection="0">
      <alignment vertical="center"/>
    </xf>
    <xf numFmtId="0" fontId="29" fillId="27" borderId="15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</cellStyleXfs>
  <cellXfs count="175">
    <xf numFmtId="0" fontId="0" fillId="0" borderId="0" xfId="0"/>
    <xf numFmtId="0" fontId="1" fillId="0" borderId="0" xfId="0" applyFont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vertical="center"/>
    </xf>
    <xf numFmtId="10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vertical="center"/>
    </xf>
    <xf numFmtId="14" fontId="3" fillId="0" borderId="3" xfId="0" applyNumberFormat="1" applyFont="1" applyBorder="1" applyAlignment="1">
      <alignment vertical="center"/>
    </xf>
    <xf numFmtId="178" fontId="3" fillId="0" borderId="4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/>
    </xf>
    <xf numFmtId="178" fontId="3" fillId="0" borderId="5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177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178" fontId="7" fillId="0" borderId="3" xfId="0" applyNumberFormat="1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vertical="center"/>
    </xf>
    <xf numFmtId="9" fontId="3" fillId="0" borderId="3" xfId="11" applyNumberFormat="1" applyFont="1" applyBorder="1" applyAlignment="1">
      <alignment horizontal="center" vertical="center"/>
    </xf>
    <xf numFmtId="177" fontId="3" fillId="0" borderId="3" xfId="0" applyNumberFormat="1" applyFont="1" applyFill="1" applyBorder="1" applyAlignment="1">
      <alignment vertical="center"/>
    </xf>
    <xf numFmtId="177" fontId="1" fillId="3" borderId="3" xfId="0" applyNumberFormat="1" applyFont="1" applyFill="1" applyBorder="1" applyAlignment="1">
      <alignment vertical="center"/>
    </xf>
    <xf numFmtId="176" fontId="7" fillId="0" borderId="3" xfId="0" applyNumberFormat="1" applyFont="1" applyBorder="1" applyAlignment="1">
      <alignment vertical="center"/>
    </xf>
    <xf numFmtId="177" fontId="7" fillId="2" borderId="3" xfId="0" applyNumberFormat="1" applyFont="1" applyFill="1" applyBorder="1" applyAlignment="1">
      <alignment vertical="center"/>
    </xf>
    <xf numFmtId="178" fontId="7" fillId="0" borderId="3" xfId="0" applyNumberFormat="1" applyFont="1" applyBorder="1" applyAlignment="1">
      <alignment vertical="center"/>
    </xf>
    <xf numFmtId="177" fontId="7" fillId="0" borderId="3" xfId="0" applyNumberFormat="1" applyFont="1" applyBorder="1" applyAlignment="1">
      <alignment vertical="center"/>
    </xf>
    <xf numFmtId="177" fontId="7" fillId="4" borderId="3" xfId="0" applyNumberFormat="1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7" fillId="0" borderId="3" xfId="0" applyNumberFormat="1" applyFont="1" applyBorder="1" applyAlignment="1">
      <alignment horizontal="center" vertical="center"/>
    </xf>
    <xf numFmtId="179" fontId="1" fillId="0" borderId="3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vertical="center"/>
    </xf>
    <xf numFmtId="180" fontId="1" fillId="0" borderId="3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9" fontId="1" fillId="5" borderId="3" xfId="11" applyFont="1" applyFill="1" applyBorder="1" applyAlignment="1">
      <alignment horizontal="center" vertical="center"/>
    </xf>
    <xf numFmtId="9" fontId="1" fillId="5" borderId="3" xfId="11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vertical="center"/>
    </xf>
    <xf numFmtId="177" fontId="1" fillId="2" borderId="3" xfId="0" applyNumberFormat="1" applyFont="1" applyFill="1" applyBorder="1" applyAlignment="1">
      <alignment vertical="center"/>
    </xf>
    <xf numFmtId="179" fontId="1" fillId="0" borderId="3" xfId="0" applyNumberFormat="1" applyFont="1" applyFill="1" applyBorder="1" applyAlignment="1">
      <alignment horizontal="center" vertical="center"/>
    </xf>
    <xf numFmtId="180" fontId="1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7" fontId="3" fillId="0" borderId="6" xfId="0" applyNumberFormat="1" applyFont="1" applyBorder="1" applyAlignment="1">
      <alignment horizontal="left" vertical="center"/>
    </xf>
    <xf numFmtId="176" fontId="3" fillId="0" borderId="5" xfId="0" applyNumberFormat="1" applyFont="1" applyBorder="1" applyAlignment="1">
      <alignment horizontal="left" vertical="center"/>
    </xf>
    <xf numFmtId="177" fontId="4" fillId="0" borderId="0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0" fontId="7" fillId="0" borderId="3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vertical="center"/>
    </xf>
    <xf numFmtId="179" fontId="1" fillId="2" borderId="3" xfId="0" applyNumberFormat="1" applyFont="1" applyFill="1" applyBorder="1" applyAlignment="1">
      <alignment horizontal="center" vertical="center"/>
    </xf>
    <xf numFmtId="180" fontId="1" fillId="2" borderId="3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9" fontId="1" fillId="2" borderId="3" xfId="11" applyNumberFormat="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179" fontId="1" fillId="0" borderId="7" xfId="0" applyNumberFormat="1" applyFont="1" applyFill="1" applyBorder="1" applyAlignment="1">
      <alignment horizontal="center" vertical="center"/>
    </xf>
    <xf numFmtId="177" fontId="1" fillId="0" borderId="7" xfId="0" applyNumberFormat="1" applyFont="1" applyBorder="1" applyAlignment="1">
      <alignment vertical="center"/>
    </xf>
    <xf numFmtId="180" fontId="1" fillId="0" borderId="7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9" fontId="1" fillId="5" borderId="7" xfId="11" applyNumberFormat="1" applyFont="1" applyFill="1" applyBorder="1" applyAlignment="1">
      <alignment horizontal="center" vertical="center"/>
    </xf>
    <xf numFmtId="177" fontId="1" fillId="3" borderId="7" xfId="0" applyNumberFormat="1" applyFont="1" applyFill="1" applyBorder="1" applyAlignment="1">
      <alignment vertical="center"/>
    </xf>
    <xf numFmtId="176" fontId="3" fillId="0" borderId="7" xfId="0" applyNumberFormat="1" applyFont="1" applyFill="1" applyBorder="1" applyAlignment="1">
      <alignment horizontal="center" vertical="center"/>
    </xf>
    <xf numFmtId="179" fontId="2" fillId="0" borderId="3" xfId="0" applyNumberFormat="1" applyFont="1" applyBorder="1" applyAlignment="1">
      <alignment horizontal="center" vertical="center"/>
    </xf>
    <xf numFmtId="177" fontId="1" fillId="0" borderId="5" xfId="0" applyNumberFormat="1" applyFont="1" applyBorder="1" applyAlignment="1">
      <alignment vertical="center"/>
    </xf>
    <xf numFmtId="177" fontId="1" fillId="3" borderId="5" xfId="0" applyNumberFormat="1" applyFont="1" applyFill="1" applyBorder="1" applyAlignment="1">
      <alignment vertical="center"/>
    </xf>
    <xf numFmtId="179" fontId="1" fillId="0" borderId="8" xfId="0" applyNumberFormat="1" applyFont="1" applyBorder="1" applyAlignment="1">
      <alignment horizontal="center" vertical="center"/>
    </xf>
    <xf numFmtId="179" fontId="1" fillId="0" borderId="4" xfId="0" applyNumberFormat="1" applyFont="1" applyBorder="1" applyAlignment="1">
      <alignment horizontal="center" vertical="center"/>
    </xf>
    <xf numFmtId="177" fontId="1" fillId="0" borderId="9" xfId="0" applyNumberFormat="1" applyFont="1" applyBorder="1" applyAlignment="1">
      <alignment vertical="center"/>
    </xf>
    <xf numFmtId="180" fontId="1" fillId="0" borderId="9" xfId="0" applyNumberFormat="1" applyFont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center"/>
    </xf>
    <xf numFmtId="9" fontId="1" fillId="5" borderId="9" xfId="11" applyNumberFormat="1" applyFont="1" applyFill="1" applyBorder="1" applyAlignment="1">
      <alignment horizontal="center" vertical="center"/>
    </xf>
    <xf numFmtId="179" fontId="1" fillId="0" borderId="9" xfId="0" applyNumberFormat="1" applyFont="1" applyBorder="1" applyAlignment="1">
      <alignment horizontal="center" vertical="center"/>
    </xf>
    <xf numFmtId="180" fontId="1" fillId="0" borderId="5" xfId="0" applyNumberFormat="1" applyFont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9" fontId="2" fillId="2" borderId="3" xfId="0" applyNumberFormat="1" applyFont="1" applyFill="1" applyBorder="1" applyAlignment="1">
      <alignment horizontal="center" vertical="center"/>
    </xf>
    <xf numFmtId="177" fontId="2" fillId="2" borderId="3" xfId="0" applyNumberFormat="1" applyFont="1" applyFill="1" applyBorder="1" applyAlignment="1">
      <alignment vertical="center"/>
    </xf>
    <xf numFmtId="180" fontId="2" fillId="2" borderId="3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9" fontId="2" fillId="2" borderId="3" xfId="11" applyNumberFormat="1" applyFont="1" applyFill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177" fontId="3" fillId="2" borderId="3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177" fontId="3" fillId="0" borderId="7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179" fontId="1" fillId="0" borderId="9" xfId="0" applyNumberFormat="1" applyFont="1" applyFill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179" fontId="2" fillId="0" borderId="9" xfId="0" applyNumberFormat="1" applyFont="1" applyFill="1" applyBorder="1" applyAlignment="1">
      <alignment horizontal="center" vertical="center"/>
    </xf>
    <xf numFmtId="177" fontId="2" fillId="0" borderId="3" xfId="0" applyNumberFormat="1" applyFont="1" applyBorder="1" applyAlignment="1">
      <alignment vertical="center"/>
    </xf>
    <xf numFmtId="0" fontId="2" fillId="0" borderId="3" xfId="0" applyNumberFormat="1" applyFont="1" applyBorder="1" applyAlignment="1">
      <alignment horizontal="center" vertical="center"/>
    </xf>
    <xf numFmtId="9" fontId="2" fillId="5" borderId="3" xfId="11" applyNumberFormat="1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vertical="center"/>
    </xf>
    <xf numFmtId="177" fontId="2" fillId="3" borderId="5" xfId="0" applyNumberFormat="1" applyFont="1" applyFill="1" applyBorder="1" applyAlignment="1">
      <alignment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Border="1" applyAlignment="1">
      <alignment vertical="center"/>
    </xf>
    <xf numFmtId="177" fontId="7" fillId="0" borderId="4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78" fontId="7" fillId="0" borderId="0" xfId="0" applyNumberFormat="1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178" fontId="3" fillId="0" borderId="3" xfId="0" applyNumberFormat="1" applyFont="1" applyBorder="1" applyAlignment="1">
      <alignment horizontal="center" vertical="center"/>
    </xf>
    <xf numFmtId="178" fontId="3" fillId="0" borderId="3" xfId="0" applyNumberFormat="1" applyFont="1" applyBorder="1" applyAlignment="1">
      <alignment vertical="center"/>
    </xf>
    <xf numFmtId="0" fontId="3" fillId="0" borderId="3" xfId="0" applyNumberFormat="1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10" fontId="7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/>
    </xf>
    <xf numFmtId="0" fontId="0" fillId="0" borderId="3" xfId="0" applyBorder="1"/>
    <xf numFmtId="178" fontId="0" fillId="0" borderId="3" xfId="0" applyNumberFormat="1" applyBorder="1"/>
    <xf numFmtId="178" fontId="3" fillId="0" borderId="3" xfId="0" applyNumberFormat="1" applyFont="1" applyFill="1" applyBorder="1" applyAlignment="1">
      <alignment vertical="center"/>
    </xf>
    <xf numFmtId="178" fontId="1" fillId="3" borderId="3" xfId="0" applyNumberFormat="1" applyFont="1" applyFill="1" applyBorder="1" applyAlignment="1">
      <alignment vertical="center"/>
    </xf>
    <xf numFmtId="178" fontId="7" fillId="2" borderId="3" xfId="0" applyNumberFormat="1" applyFont="1" applyFill="1" applyBorder="1" applyAlignment="1">
      <alignment vertical="center"/>
    </xf>
    <xf numFmtId="178" fontId="7" fillId="4" borderId="3" xfId="0" applyNumberFormat="1" applyFont="1" applyFill="1" applyBorder="1" applyAlignment="1">
      <alignment vertical="center"/>
    </xf>
    <xf numFmtId="178" fontId="1" fillId="0" borderId="3" xfId="0" applyNumberFormat="1" applyFont="1" applyBorder="1" applyAlignment="1">
      <alignment vertical="center"/>
    </xf>
    <xf numFmtId="178" fontId="1" fillId="0" borderId="3" xfId="0" applyNumberFormat="1" applyFont="1" applyFill="1" applyBorder="1" applyAlignment="1">
      <alignment vertical="center"/>
    </xf>
    <xf numFmtId="178" fontId="1" fillId="2" borderId="3" xfId="0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11" fillId="0" borderId="3" xfId="0" applyFont="1" applyFill="1" applyBorder="1" applyAlignment="1">
      <alignment horizontal="center" vertical="center" wrapText="1"/>
    </xf>
    <xf numFmtId="178" fontId="1" fillId="0" borderId="7" xfId="0" applyNumberFormat="1" applyFont="1" applyBorder="1" applyAlignment="1">
      <alignment vertical="center"/>
    </xf>
    <xf numFmtId="178" fontId="1" fillId="3" borderId="7" xfId="0" applyNumberFormat="1" applyFont="1" applyFill="1" applyBorder="1" applyAlignment="1">
      <alignment vertical="center"/>
    </xf>
    <xf numFmtId="178" fontId="1" fillId="3" borderId="5" xfId="0" applyNumberFormat="1" applyFont="1" applyFill="1" applyBorder="1" applyAlignment="1">
      <alignment vertical="center"/>
    </xf>
    <xf numFmtId="178" fontId="1" fillId="0" borderId="9" xfId="0" applyNumberFormat="1" applyFont="1" applyBorder="1" applyAlignment="1">
      <alignment vertical="center"/>
    </xf>
    <xf numFmtId="179" fontId="2" fillId="6" borderId="3" xfId="0" applyNumberFormat="1" applyFont="1" applyFill="1" applyBorder="1" applyAlignment="1">
      <alignment horizontal="center" vertical="center"/>
    </xf>
    <xf numFmtId="178" fontId="2" fillId="6" borderId="3" xfId="0" applyNumberFormat="1" applyFont="1" applyFill="1" applyBorder="1" applyAlignment="1">
      <alignment vertical="center"/>
    </xf>
    <xf numFmtId="180" fontId="2" fillId="6" borderId="3" xfId="0" applyNumberFormat="1" applyFont="1" applyFill="1" applyBorder="1" applyAlignment="1">
      <alignment horizontal="center" vertical="center"/>
    </xf>
    <xf numFmtId="0" fontId="2" fillId="6" borderId="3" xfId="0" applyNumberFormat="1" applyFont="1" applyFill="1" applyBorder="1" applyAlignment="1">
      <alignment horizontal="center" vertical="center"/>
    </xf>
    <xf numFmtId="9" fontId="2" fillId="6" borderId="3" xfId="11" applyNumberFormat="1" applyFont="1" applyFill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8" fontId="2" fillId="0" borderId="3" xfId="0" applyNumberFormat="1" applyFont="1" applyBorder="1" applyAlignment="1">
      <alignment vertical="center"/>
    </xf>
    <xf numFmtId="178" fontId="3" fillId="2" borderId="3" xfId="0" applyNumberFormat="1" applyFont="1" applyFill="1" applyBorder="1" applyAlignment="1">
      <alignment vertical="center"/>
    </xf>
    <xf numFmtId="178" fontId="3" fillId="0" borderId="7" xfId="0" applyNumberFormat="1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NumberFormat="1" applyFont="1" applyBorder="1" applyAlignment="1">
      <alignment vertical="center"/>
    </xf>
    <xf numFmtId="0" fontId="12" fillId="0" borderId="3" xfId="0" applyFont="1" applyFill="1" applyBorder="1" applyAlignment="1">
      <alignment horizontal="center" vertical="center" wrapText="1"/>
    </xf>
    <xf numFmtId="179" fontId="3" fillId="0" borderId="9" xfId="0" applyNumberFormat="1" applyFont="1" applyFill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9" fontId="3" fillId="5" borderId="3" xfId="11" applyNumberFormat="1" applyFont="1" applyFill="1" applyBorder="1" applyAlignment="1">
      <alignment horizontal="center" vertical="center"/>
    </xf>
    <xf numFmtId="178" fontId="3" fillId="3" borderId="5" xfId="0" applyNumberFormat="1" applyFont="1" applyFill="1" applyBorder="1" applyAlignment="1">
      <alignment vertical="center"/>
    </xf>
    <xf numFmtId="179" fontId="3" fillId="0" borderId="9" xfId="0" applyNumberFormat="1" applyFont="1" applyBorder="1" applyAlignment="1">
      <alignment horizontal="center" vertical="center"/>
    </xf>
    <xf numFmtId="180" fontId="3" fillId="0" borderId="5" xfId="0" applyNumberFormat="1" applyFont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vertical="center"/>
    </xf>
    <xf numFmtId="178" fontId="7" fillId="0" borderId="4" xfId="0" applyNumberFormat="1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3" fillId="0" borderId="3" xfId="0" applyNumberFormat="1" applyFont="1" applyFill="1" applyBorder="1" applyAlignment="1">
      <alignment vertical="center"/>
    </xf>
    <xf numFmtId="0" fontId="3" fillId="0" borderId="3" xfId="0" applyNumberFormat="1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85725</xdr:colOff>
      <xdr:row>141</xdr:row>
      <xdr:rowOff>52070</xdr:rowOff>
    </xdr:from>
    <xdr:to>
      <xdr:col>15</xdr:col>
      <xdr:colOff>456565</xdr:colOff>
      <xdr:row>141</xdr:row>
      <xdr:rowOff>180340</xdr:rowOff>
    </xdr:to>
    <xdr:pic>
      <xdr:nvPicPr>
        <xdr:cNvPr id="2" name="图片 1" descr="HN~6Z`4BTP6J`DXPE4_AF~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V="1">
          <a:off x="15344775" y="32334835"/>
          <a:ext cx="370840" cy="128270"/>
        </a:xfrm>
        <a:prstGeom prst="rect">
          <a:avLst/>
        </a:prstGeom>
      </xdr:spPr>
    </xdr:pic>
    <xdr:clientData/>
  </xdr:twoCellAnchor>
  <xdr:twoCellAnchor editAs="oneCell">
    <xdr:from>
      <xdr:col>15</xdr:col>
      <xdr:colOff>238125</xdr:colOff>
      <xdr:row>139</xdr:row>
      <xdr:rowOff>76200</xdr:rowOff>
    </xdr:from>
    <xdr:to>
      <xdr:col>15</xdr:col>
      <xdr:colOff>519430</xdr:colOff>
      <xdr:row>140</xdr:row>
      <xdr:rowOff>0</xdr:rowOff>
    </xdr:to>
    <xdr:pic>
      <xdr:nvPicPr>
        <xdr:cNvPr id="3" name="图片 2" descr="UMSKNOQJRJ)Q9@QP49VRJ)Q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97175" y="31901765"/>
          <a:ext cx="281305" cy="152400"/>
        </a:xfrm>
        <a:prstGeom prst="rect">
          <a:avLst/>
        </a:prstGeom>
      </xdr:spPr>
    </xdr:pic>
    <xdr:clientData/>
  </xdr:twoCellAnchor>
  <xdr:twoCellAnchor editAs="oneCell">
    <xdr:from>
      <xdr:col>14</xdr:col>
      <xdr:colOff>133350</xdr:colOff>
      <xdr:row>142</xdr:row>
      <xdr:rowOff>57150</xdr:rowOff>
    </xdr:from>
    <xdr:to>
      <xdr:col>14</xdr:col>
      <xdr:colOff>238125</xdr:colOff>
      <xdr:row>142</xdr:row>
      <xdr:rowOff>205740</xdr:rowOff>
    </xdr:to>
    <xdr:pic>
      <xdr:nvPicPr>
        <xdr:cNvPr id="4" name="图片 3" descr="M(0IMXCJYPEKF9D0F[F}IYV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173200" y="32568515"/>
          <a:ext cx="104775" cy="148590"/>
        </a:xfrm>
        <a:prstGeom prst="rect">
          <a:avLst/>
        </a:prstGeom>
      </xdr:spPr>
    </xdr:pic>
    <xdr:clientData/>
  </xdr:twoCellAnchor>
  <xdr:twoCellAnchor editAs="oneCell">
    <xdr:from>
      <xdr:col>14</xdr:col>
      <xdr:colOff>85725</xdr:colOff>
      <xdr:row>144</xdr:row>
      <xdr:rowOff>47625</xdr:rowOff>
    </xdr:from>
    <xdr:to>
      <xdr:col>14</xdr:col>
      <xdr:colOff>257810</xdr:colOff>
      <xdr:row>145</xdr:row>
      <xdr:rowOff>19050</xdr:rowOff>
    </xdr:to>
    <xdr:pic>
      <xdr:nvPicPr>
        <xdr:cNvPr id="5" name="图片 4" descr="`~$SDNEM%9%}]`Z_KI@}W`W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4125575" y="33016190"/>
          <a:ext cx="172085" cy="200025"/>
        </a:xfrm>
        <a:prstGeom prst="rect">
          <a:avLst/>
        </a:prstGeom>
      </xdr:spPr>
    </xdr:pic>
    <xdr:clientData/>
  </xdr:twoCellAnchor>
  <xdr:twoCellAnchor>
    <xdr:from>
      <xdr:col>14</xdr:col>
      <xdr:colOff>85725</xdr:colOff>
      <xdr:row>159</xdr:row>
      <xdr:rowOff>85725</xdr:rowOff>
    </xdr:from>
    <xdr:to>
      <xdr:col>14</xdr:col>
      <xdr:colOff>354330</xdr:colOff>
      <xdr:row>159</xdr:row>
      <xdr:rowOff>161925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125575" y="36991290"/>
          <a:ext cx="268605" cy="762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14</xdr:col>
      <xdr:colOff>190500</xdr:colOff>
      <xdr:row>143</xdr:row>
      <xdr:rowOff>56515</xdr:rowOff>
    </xdr:from>
    <xdr:to>
      <xdr:col>14</xdr:col>
      <xdr:colOff>351790</xdr:colOff>
      <xdr:row>143</xdr:row>
      <xdr:rowOff>198120</xdr:rowOff>
    </xdr:to>
    <xdr:pic>
      <xdr:nvPicPr>
        <xdr:cNvPr id="7" name="图片 6" descr="1]38}5[JBDL}3{7NLA5LRO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230350" y="32796480"/>
          <a:ext cx="161290" cy="1416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85725</xdr:colOff>
      <xdr:row>141</xdr:row>
      <xdr:rowOff>52070</xdr:rowOff>
    </xdr:from>
    <xdr:to>
      <xdr:col>15</xdr:col>
      <xdr:colOff>456565</xdr:colOff>
      <xdr:row>141</xdr:row>
      <xdr:rowOff>180340</xdr:rowOff>
    </xdr:to>
    <xdr:pic>
      <xdr:nvPicPr>
        <xdr:cNvPr id="2" name="图片 1" descr="HN~6Z`4BTP6J`DXPE4_AF~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V="1">
          <a:off x="13725525" y="32334835"/>
          <a:ext cx="370840" cy="128270"/>
        </a:xfrm>
        <a:prstGeom prst="rect">
          <a:avLst/>
        </a:prstGeom>
      </xdr:spPr>
    </xdr:pic>
    <xdr:clientData/>
  </xdr:twoCellAnchor>
  <xdr:twoCellAnchor editAs="oneCell">
    <xdr:from>
      <xdr:col>15</xdr:col>
      <xdr:colOff>238125</xdr:colOff>
      <xdr:row>139</xdr:row>
      <xdr:rowOff>76200</xdr:rowOff>
    </xdr:from>
    <xdr:to>
      <xdr:col>15</xdr:col>
      <xdr:colOff>519430</xdr:colOff>
      <xdr:row>140</xdr:row>
      <xdr:rowOff>0</xdr:rowOff>
    </xdr:to>
    <xdr:pic>
      <xdr:nvPicPr>
        <xdr:cNvPr id="4" name="图片 3" descr="UMSKNOQJRJ)Q9@QP49VRJ)Q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877925" y="31901765"/>
          <a:ext cx="281305" cy="152400"/>
        </a:xfrm>
        <a:prstGeom prst="rect">
          <a:avLst/>
        </a:prstGeom>
      </xdr:spPr>
    </xdr:pic>
    <xdr:clientData/>
  </xdr:twoCellAnchor>
  <xdr:twoCellAnchor editAs="oneCell">
    <xdr:from>
      <xdr:col>14</xdr:col>
      <xdr:colOff>133350</xdr:colOff>
      <xdr:row>142</xdr:row>
      <xdr:rowOff>57150</xdr:rowOff>
    </xdr:from>
    <xdr:to>
      <xdr:col>14</xdr:col>
      <xdr:colOff>238125</xdr:colOff>
      <xdr:row>142</xdr:row>
      <xdr:rowOff>205740</xdr:rowOff>
    </xdr:to>
    <xdr:pic>
      <xdr:nvPicPr>
        <xdr:cNvPr id="3" name="图片 2" descr="M(0IMXCJYPEKF9D0F[F}IYV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087350" y="32568515"/>
          <a:ext cx="104775" cy="148590"/>
        </a:xfrm>
        <a:prstGeom prst="rect">
          <a:avLst/>
        </a:prstGeom>
      </xdr:spPr>
    </xdr:pic>
    <xdr:clientData/>
  </xdr:twoCellAnchor>
  <xdr:twoCellAnchor editAs="oneCell">
    <xdr:from>
      <xdr:col>14</xdr:col>
      <xdr:colOff>85725</xdr:colOff>
      <xdr:row>144</xdr:row>
      <xdr:rowOff>47625</xdr:rowOff>
    </xdr:from>
    <xdr:to>
      <xdr:col>14</xdr:col>
      <xdr:colOff>257810</xdr:colOff>
      <xdr:row>145</xdr:row>
      <xdr:rowOff>19050</xdr:rowOff>
    </xdr:to>
    <xdr:pic>
      <xdr:nvPicPr>
        <xdr:cNvPr id="5" name="图片 4" descr="`~$SDNEM%9%}]`Z_KI@}W`W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039725" y="33016190"/>
          <a:ext cx="172085" cy="200025"/>
        </a:xfrm>
        <a:prstGeom prst="rect">
          <a:avLst/>
        </a:prstGeom>
      </xdr:spPr>
    </xdr:pic>
    <xdr:clientData/>
  </xdr:twoCellAnchor>
  <xdr:twoCellAnchor>
    <xdr:from>
      <xdr:col>14</xdr:col>
      <xdr:colOff>85725</xdr:colOff>
      <xdr:row>145</xdr:row>
      <xdr:rowOff>85725</xdr:rowOff>
    </xdr:from>
    <xdr:to>
      <xdr:col>14</xdr:col>
      <xdr:colOff>354330</xdr:colOff>
      <xdr:row>145</xdr:row>
      <xdr:rowOff>161925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039725" y="33282890"/>
          <a:ext cx="268605" cy="762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14</xdr:col>
      <xdr:colOff>190500</xdr:colOff>
      <xdr:row>143</xdr:row>
      <xdr:rowOff>56515</xdr:rowOff>
    </xdr:from>
    <xdr:to>
      <xdr:col>14</xdr:col>
      <xdr:colOff>351790</xdr:colOff>
      <xdr:row>143</xdr:row>
      <xdr:rowOff>198120</xdr:rowOff>
    </xdr:to>
    <xdr:pic>
      <xdr:nvPicPr>
        <xdr:cNvPr id="7" name="图片 6" descr="1]38}5[JBDL}3{7NLA5LRO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144500" y="32796480"/>
          <a:ext cx="161290" cy="141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0"/>
  <sheetViews>
    <sheetView tabSelected="1" workbookViewId="0">
      <selection activeCell="A1" sqref="A1:J1"/>
    </sheetView>
  </sheetViews>
  <sheetFormatPr defaultColWidth="9" defaultRowHeight="11.25"/>
  <cols>
    <col min="1" max="1" width="10.75" style="5" customWidth="1"/>
    <col min="2" max="2" width="13.125" style="6" customWidth="1"/>
    <col min="3" max="3" width="6" style="7" customWidth="1"/>
    <col min="4" max="4" width="13.375" style="7" customWidth="1"/>
    <col min="5" max="5" width="6" style="7" customWidth="1"/>
    <col min="6" max="6" width="13.125" style="6" customWidth="1"/>
    <col min="7" max="7" width="14.125" style="6" customWidth="1"/>
    <col min="8" max="8" width="9.625" style="7" customWidth="1"/>
    <col min="9" max="9" width="13.875" style="6" customWidth="1"/>
    <col min="10" max="10" width="6.125" style="8" customWidth="1"/>
    <col min="11" max="11" width="31.5" style="9" customWidth="1"/>
    <col min="12" max="12" width="20.75" style="9" customWidth="1"/>
    <col min="13" max="13" width="19.625" style="9" customWidth="1"/>
    <col min="14" max="14" width="6.25" style="9" customWidth="1"/>
    <col min="15" max="15" width="16" style="9" customWidth="1"/>
    <col min="16" max="16384" width="9" style="9"/>
  </cols>
  <sheetData>
    <row r="1" ht="21.95" customHeight="1" spans="1:12">
      <c r="A1" s="10" t="s">
        <v>0</v>
      </c>
      <c r="B1" s="10"/>
      <c r="C1" s="10"/>
      <c r="D1" s="11"/>
      <c r="E1" s="10"/>
      <c r="F1" s="12"/>
      <c r="G1" s="12"/>
      <c r="H1" s="10"/>
      <c r="I1" s="12"/>
      <c r="J1" s="10"/>
      <c r="K1" s="11"/>
      <c r="L1" s="11"/>
    </row>
    <row r="2" ht="18" customHeight="1" spans="1:12">
      <c r="A2" s="13" t="s">
        <v>1</v>
      </c>
      <c r="B2" s="14">
        <v>43641</v>
      </c>
      <c r="C2" s="15" t="s">
        <v>2</v>
      </c>
      <c r="D2" s="131">
        <v>69356092</v>
      </c>
      <c r="E2" s="17" t="s">
        <v>3</v>
      </c>
      <c r="F2" s="18" t="s">
        <v>4</v>
      </c>
      <c r="G2" s="19" t="s">
        <v>5</v>
      </c>
      <c r="H2" s="20"/>
      <c r="I2" s="48"/>
      <c r="J2" s="49"/>
      <c r="K2" s="11"/>
      <c r="L2" s="11"/>
    </row>
    <row r="3" ht="18" customHeight="1" spans="1:12">
      <c r="A3" s="13" t="s">
        <v>6</v>
      </c>
      <c r="B3" s="25"/>
      <c r="C3" s="132"/>
      <c r="D3" s="133"/>
      <c r="E3"/>
      <c r="G3"/>
      <c r="H3" s="11"/>
      <c r="I3" s="50"/>
      <c r="J3" s="11"/>
      <c r="K3" s="11"/>
      <c r="L3" s="11"/>
    </row>
    <row r="4" ht="18" customHeight="1" spans="1:12">
      <c r="A4" s="5" t="s">
        <v>7</v>
      </c>
      <c r="H4" s="11"/>
      <c r="I4" s="50"/>
      <c r="J4" s="11"/>
      <c r="K4" s="11"/>
      <c r="L4" s="11"/>
    </row>
    <row r="5" ht="18" customHeight="1" spans="1:10">
      <c r="A5" s="21" t="s">
        <v>8</v>
      </c>
      <c r="B5" s="22" t="s">
        <v>9</v>
      </c>
      <c r="C5" s="21" t="s">
        <v>10</v>
      </c>
      <c r="D5" s="21"/>
      <c r="E5" s="21" t="s">
        <v>11</v>
      </c>
      <c r="F5" s="22"/>
      <c r="G5" s="22" t="s">
        <v>12</v>
      </c>
      <c r="H5" s="23" t="s">
        <v>13</v>
      </c>
      <c r="I5" s="22"/>
      <c r="J5" s="23"/>
    </row>
    <row r="6" ht="18" customHeight="1" spans="1:10">
      <c r="A6" s="21"/>
      <c r="B6" s="22"/>
      <c r="C6" s="21" t="s">
        <v>14</v>
      </c>
      <c r="D6" s="21" t="s">
        <v>15</v>
      </c>
      <c r="E6" s="21" t="s">
        <v>14</v>
      </c>
      <c r="F6" s="22" t="s">
        <v>15</v>
      </c>
      <c r="G6" s="22"/>
      <c r="H6" s="23" t="s">
        <v>16</v>
      </c>
      <c r="I6" s="22" t="s">
        <v>17</v>
      </c>
      <c r="J6" s="23" t="s">
        <v>18</v>
      </c>
    </row>
    <row r="7" ht="18" customHeight="1" spans="1:10">
      <c r="A7" s="24">
        <v>44099</v>
      </c>
      <c r="B7" s="124">
        <f t="shared" ref="B7:B10" si="0">G7/(1+C7+E7)</f>
        <v>10091743.1192661</v>
      </c>
      <c r="C7" s="26">
        <v>0.02</v>
      </c>
      <c r="D7" s="134">
        <f t="shared" ref="D7:D10" si="1">G7/(1+E7+C7)*C7</f>
        <v>201834.862385321</v>
      </c>
      <c r="E7" s="26">
        <v>0.07</v>
      </c>
      <c r="F7" s="124">
        <f t="shared" ref="F7:F10" si="2">G7/(1+C7+E7)*E7</f>
        <v>706422.018348624</v>
      </c>
      <c r="G7" s="135">
        <v>11000000</v>
      </c>
      <c r="H7" s="24"/>
      <c r="I7" s="25"/>
      <c r="J7" s="51"/>
    </row>
    <row r="8" ht="18" customHeight="1" spans="1:10">
      <c r="A8" s="24"/>
      <c r="B8" s="124">
        <f t="shared" si="0"/>
        <v>0</v>
      </c>
      <c r="C8" s="26">
        <v>0.02</v>
      </c>
      <c r="D8" s="134">
        <f t="shared" si="1"/>
        <v>0</v>
      </c>
      <c r="E8" s="26">
        <v>0.07</v>
      </c>
      <c r="F8" s="124">
        <f t="shared" si="2"/>
        <v>0</v>
      </c>
      <c r="G8" s="135"/>
      <c r="H8" s="24"/>
      <c r="I8" s="25"/>
      <c r="J8" s="51"/>
    </row>
    <row r="9" ht="18" customHeight="1" spans="1:11">
      <c r="A9" s="24"/>
      <c r="B9" s="124">
        <f t="shared" si="0"/>
        <v>0</v>
      </c>
      <c r="C9" s="26">
        <v>0.02</v>
      </c>
      <c r="D9" s="134">
        <f t="shared" si="1"/>
        <v>0</v>
      </c>
      <c r="E9" s="26">
        <v>0.07</v>
      </c>
      <c r="F9" s="124">
        <f t="shared" si="2"/>
        <v>0</v>
      </c>
      <c r="G9" s="135"/>
      <c r="H9" s="24"/>
      <c r="I9" s="25"/>
      <c r="J9" s="51"/>
      <c r="K9" s="9" t="s">
        <v>19</v>
      </c>
    </row>
    <row r="10" ht="18" customHeight="1" spans="1:10">
      <c r="A10" s="24"/>
      <c r="B10" s="124">
        <f t="shared" si="0"/>
        <v>0</v>
      </c>
      <c r="C10" s="26">
        <v>0.02</v>
      </c>
      <c r="D10" s="134">
        <f t="shared" si="1"/>
        <v>0</v>
      </c>
      <c r="E10" s="26">
        <v>0.07</v>
      </c>
      <c r="F10" s="124">
        <f t="shared" si="2"/>
        <v>0</v>
      </c>
      <c r="G10" s="135"/>
      <c r="H10" s="24"/>
      <c r="I10" s="25"/>
      <c r="J10" s="51"/>
    </row>
    <row r="11" ht="18" customHeight="1" spans="1:10">
      <c r="A11" s="29" t="s">
        <v>20</v>
      </c>
      <c r="B11" s="136">
        <f t="shared" ref="B11:G11" si="3">SUM(B7:B10)</f>
        <v>10091743.1192661</v>
      </c>
      <c r="C11" s="31"/>
      <c r="D11" s="31">
        <f t="shared" si="3"/>
        <v>201834.862385321</v>
      </c>
      <c r="E11" s="31"/>
      <c r="F11" s="137">
        <f t="shared" si="3"/>
        <v>706422.018348624</v>
      </c>
      <c r="G11" s="31">
        <f t="shared" si="3"/>
        <v>11000000</v>
      </c>
      <c r="H11" s="34"/>
      <c r="I11" s="32">
        <f>SUM(I7:I10)</f>
        <v>0</v>
      </c>
      <c r="J11" s="34"/>
    </row>
    <row r="12" ht="18" customHeight="1" spans="1:12">
      <c r="A12" s="5" t="s">
        <v>21</v>
      </c>
      <c r="J12" s="7"/>
      <c r="K12" s="7"/>
      <c r="L12" s="8"/>
    </row>
    <row r="13" ht="18" customHeight="1" spans="1:15">
      <c r="A13" s="35" t="s">
        <v>22</v>
      </c>
      <c r="B13" s="22" t="s">
        <v>23</v>
      </c>
      <c r="C13" s="21" t="s">
        <v>24</v>
      </c>
      <c r="D13" s="21" t="s">
        <v>25</v>
      </c>
      <c r="E13" s="21" t="s">
        <v>14</v>
      </c>
      <c r="F13" s="22" t="s">
        <v>26</v>
      </c>
      <c r="G13" s="22" t="s">
        <v>12</v>
      </c>
      <c r="H13" s="21" t="s">
        <v>27</v>
      </c>
      <c r="I13" s="22" t="s">
        <v>28</v>
      </c>
      <c r="J13" s="21" t="s">
        <v>18</v>
      </c>
      <c r="K13" s="52" t="s">
        <v>29</v>
      </c>
      <c r="L13" s="23" t="s">
        <v>30</v>
      </c>
      <c r="M13" s="23" t="s">
        <v>31</v>
      </c>
      <c r="N13" s="23" t="s">
        <v>32</v>
      </c>
      <c r="O13" s="23" t="s">
        <v>33</v>
      </c>
    </row>
    <row r="14" s="1" customFormat="1" ht="18" customHeight="1" spans="1:15">
      <c r="A14" s="36">
        <v>43800</v>
      </c>
      <c r="B14" s="138">
        <f t="shared" ref="B14:B77" si="4">ROUND(G14/(1+E14),2)</f>
        <v>32592.13</v>
      </c>
      <c r="C14" s="38"/>
      <c r="D14" s="39" t="s">
        <v>34</v>
      </c>
      <c r="E14" s="40"/>
      <c r="F14" s="138">
        <f t="shared" ref="F14:F77" si="5">ROUND(G14/(1+E14)*E14,2)</f>
        <v>0</v>
      </c>
      <c r="G14" s="135">
        <v>32592.13</v>
      </c>
      <c r="H14" s="24"/>
      <c r="I14" s="124"/>
      <c r="J14" s="51"/>
      <c r="K14" s="53" t="s">
        <v>35</v>
      </c>
      <c r="L14" s="54"/>
      <c r="M14" s="51"/>
      <c r="N14" s="55"/>
      <c r="O14" s="54"/>
    </row>
    <row r="15" s="1" customFormat="1" ht="18" customHeight="1" spans="1:15">
      <c r="A15" s="36">
        <v>43800</v>
      </c>
      <c r="B15" s="138">
        <f t="shared" si="4"/>
        <v>15779</v>
      </c>
      <c r="C15" s="38"/>
      <c r="D15" s="39" t="s">
        <v>34</v>
      </c>
      <c r="E15" s="40"/>
      <c r="F15" s="138">
        <f t="shared" si="5"/>
        <v>0</v>
      </c>
      <c r="G15" s="135">
        <v>15779</v>
      </c>
      <c r="H15" s="24"/>
      <c r="I15" s="124"/>
      <c r="J15" s="51"/>
      <c r="K15" s="53" t="s">
        <v>36</v>
      </c>
      <c r="L15" s="54"/>
      <c r="M15" s="51"/>
      <c r="N15" s="55"/>
      <c r="O15" s="54"/>
    </row>
    <row r="16" s="1" customFormat="1" ht="18" customHeight="1" spans="1:15">
      <c r="A16" s="36">
        <v>43800</v>
      </c>
      <c r="B16" s="138">
        <f t="shared" si="4"/>
        <v>10082.5</v>
      </c>
      <c r="C16" s="38"/>
      <c r="D16" s="39" t="s">
        <v>34</v>
      </c>
      <c r="E16" s="40"/>
      <c r="F16" s="138">
        <f t="shared" si="5"/>
        <v>0</v>
      </c>
      <c r="G16" s="135">
        <v>10082.5</v>
      </c>
      <c r="H16" s="24"/>
      <c r="I16" s="124"/>
      <c r="J16" s="51"/>
      <c r="K16" s="53" t="s">
        <v>37</v>
      </c>
      <c r="L16" s="54"/>
      <c r="M16" s="51"/>
      <c r="N16" s="55"/>
      <c r="O16" s="54"/>
    </row>
    <row r="17" s="1" customFormat="1" ht="18" customHeight="1" spans="1:15">
      <c r="A17" s="36">
        <v>43800</v>
      </c>
      <c r="B17" s="138">
        <f t="shared" si="4"/>
        <v>2520</v>
      </c>
      <c r="C17" s="38"/>
      <c r="D17" s="39" t="s">
        <v>34</v>
      </c>
      <c r="E17" s="40"/>
      <c r="F17" s="138">
        <f t="shared" si="5"/>
        <v>0</v>
      </c>
      <c r="G17" s="135">
        <v>2520</v>
      </c>
      <c r="H17" s="24"/>
      <c r="I17" s="124"/>
      <c r="J17" s="51"/>
      <c r="K17" s="53" t="s">
        <v>35</v>
      </c>
      <c r="L17" s="54"/>
      <c r="M17" s="51"/>
      <c r="N17" s="55"/>
      <c r="O17" s="54"/>
    </row>
    <row r="18" s="1" customFormat="1" ht="18" customHeight="1" spans="1:15">
      <c r="A18" s="36">
        <v>43800</v>
      </c>
      <c r="B18" s="138">
        <f t="shared" si="4"/>
        <v>48682</v>
      </c>
      <c r="C18" s="38"/>
      <c r="D18" s="39" t="s">
        <v>34</v>
      </c>
      <c r="E18" s="40"/>
      <c r="F18" s="138">
        <f t="shared" si="5"/>
        <v>0</v>
      </c>
      <c r="G18" s="135">
        <v>48682</v>
      </c>
      <c r="H18" s="24"/>
      <c r="I18" s="124"/>
      <c r="J18" s="51"/>
      <c r="K18" s="53" t="s">
        <v>38</v>
      </c>
      <c r="L18" s="54" t="s">
        <v>39</v>
      </c>
      <c r="M18" s="51"/>
      <c r="N18" s="55"/>
      <c r="O18" s="54"/>
    </row>
    <row r="19" s="1" customFormat="1" ht="18" customHeight="1" spans="1:17">
      <c r="A19" s="36">
        <v>43800</v>
      </c>
      <c r="B19" s="138">
        <f t="shared" si="4"/>
        <v>26539.82</v>
      </c>
      <c r="C19" s="38"/>
      <c r="D19" s="39" t="s">
        <v>40</v>
      </c>
      <c r="E19" s="41">
        <v>0.13</v>
      </c>
      <c r="F19" s="138">
        <f t="shared" si="5"/>
        <v>3450.18</v>
      </c>
      <c r="G19" s="135">
        <v>29990</v>
      </c>
      <c r="H19" s="24"/>
      <c r="I19" s="124"/>
      <c r="J19" s="51"/>
      <c r="K19" s="53" t="s">
        <v>41</v>
      </c>
      <c r="L19" s="54" t="s">
        <v>42</v>
      </c>
      <c r="M19" s="51"/>
      <c r="N19" s="55"/>
      <c r="O19" s="54"/>
      <c r="Q19" s="1" t="s">
        <v>43</v>
      </c>
    </row>
    <row r="20" s="1" customFormat="1" ht="18" customHeight="1" spans="1:15">
      <c r="A20" s="36">
        <v>43800</v>
      </c>
      <c r="B20" s="138">
        <f t="shared" si="4"/>
        <v>5353.98</v>
      </c>
      <c r="C20" s="38"/>
      <c r="D20" s="39" t="s">
        <v>40</v>
      </c>
      <c r="E20" s="41">
        <v>0.13</v>
      </c>
      <c r="F20" s="138">
        <f t="shared" si="5"/>
        <v>696.02</v>
      </c>
      <c r="G20" s="135">
        <v>6050</v>
      </c>
      <c r="H20" s="24"/>
      <c r="I20" s="124"/>
      <c r="J20" s="51"/>
      <c r="K20" s="53" t="s">
        <v>41</v>
      </c>
      <c r="L20" s="54" t="s">
        <v>44</v>
      </c>
      <c r="M20" s="51"/>
      <c r="N20" s="55"/>
      <c r="O20" s="54"/>
    </row>
    <row r="21" s="1" customFormat="1" ht="18" customHeight="1" spans="1:15">
      <c r="A21" s="36">
        <v>43800</v>
      </c>
      <c r="B21" s="138">
        <f t="shared" si="4"/>
        <v>309.73</v>
      </c>
      <c r="C21" s="38"/>
      <c r="D21" s="39" t="s">
        <v>40</v>
      </c>
      <c r="E21" s="41">
        <v>0.13</v>
      </c>
      <c r="F21" s="138">
        <f t="shared" si="5"/>
        <v>40.27</v>
      </c>
      <c r="G21" s="135">
        <v>350</v>
      </c>
      <c r="H21" s="24"/>
      <c r="I21" s="124"/>
      <c r="J21" s="51"/>
      <c r="K21" s="53" t="s">
        <v>45</v>
      </c>
      <c r="L21" s="54" t="s">
        <v>46</v>
      </c>
      <c r="M21" s="51"/>
      <c r="N21" s="55"/>
      <c r="O21" s="54"/>
    </row>
    <row r="22" s="1" customFormat="1" ht="18" customHeight="1" spans="1:15">
      <c r="A22" s="36">
        <v>43800</v>
      </c>
      <c r="B22" s="138">
        <f t="shared" si="4"/>
        <v>884.96</v>
      </c>
      <c r="C22" s="38"/>
      <c r="D22" s="39" t="s">
        <v>40</v>
      </c>
      <c r="E22" s="41">
        <v>0.13</v>
      </c>
      <c r="F22" s="138">
        <f t="shared" si="5"/>
        <v>115.04</v>
      </c>
      <c r="G22" s="135">
        <v>1000</v>
      </c>
      <c r="H22" s="24"/>
      <c r="I22" s="124"/>
      <c r="J22" s="51"/>
      <c r="K22" s="53" t="s">
        <v>47</v>
      </c>
      <c r="L22" s="54" t="s">
        <v>48</v>
      </c>
      <c r="M22" s="51"/>
      <c r="N22" s="55"/>
      <c r="O22" s="54"/>
    </row>
    <row r="23" s="1" customFormat="1" ht="18" customHeight="1" spans="1:15">
      <c r="A23" s="36">
        <v>43800</v>
      </c>
      <c r="B23" s="138">
        <f t="shared" si="4"/>
        <v>9320.39</v>
      </c>
      <c r="C23" s="38"/>
      <c r="D23" s="39" t="s">
        <v>40</v>
      </c>
      <c r="E23" s="41">
        <v>0.03</v>
      </c>
      <c r="F23" s="138">
        <f t="shared" si="5"/>
        <v>279.61</v>
      </c>
      <c r="G23" s="135">
        <v>9600</v>
      </c>
      <c r="H23" s="24"/>
      <c r="I23" s="124"/>
      <c r="J23" s="51"/>
      <c r="K23" s="53" t="s">
        <v>49</v>
      </c>
      <c r="L23" s="54" t="s">
        <v>50</v>
      </c>
      <c r="M23" s="51"/>
      <c r="N23" s="55"/>
      <c r="O23" s="54"/>
    </row>
    <row r="24" s="1" customFormat="1" ht="18" customHeight="1" spans="1:15">
      <c r="A24" s="36">
        <v>43800</v>
      </c>
      <c r="B24" s="138">
        <f t="shared" si="4"/>
        <v>11154.4</v>
      </c>
      <c r="C24" s="38"/>
      <c r="D24" s="39" t="s">
        <v>34</v>
      </c>
      <c r="E24" s="40"/>
      <c r="F24" s="138">
        <f t="shared" si="5"/>
        <v>0</v>
      </c>
      <c r="G24" s="135">
        <v>11154.4</v>
      </c>
      <c r="H24" s="24"/>
      <c r="I24" s="124"/>
      <c r="J24" s="51"/>
      <c r="K24" s="53" t="s">
        <v>51</v>
      </c>
      <c r="L24" s="54" t="s">
        <v>52</v>
      </c>
      <c r="M24" s="51"/>
      <c r="N24" s="55"/>
      <c r="O24" s="54"/>
    </row>
    <row r="25" s="1" customFormat="1" ht="18" customHeight="1" spans="1:15">
      <c r="A25" s="36">
        <v>43800</v>
      </c>
      <c r="B25" s="138">
        <f t="shared" si="4"/>
        <v>15635.05</v>
      </c>
      <c r="C25" s="38"/>
      <c r="D25" s="39" t="s">
        <v>34</v>
      </c>
      <c r="E25" s="40"/>
      <c r="F25" s="138">
        <f t="shared" si="5"/>
        <v>0</v>
      </c>
      <c r="G25" s="135">
        <v>15635.05</v>
      </c>
      <c r="H25" s="24"/>
      <c r="I25" s="124"/>
      <c r="J25" s="51"/>
      <c r="K25" s="53" t="s">
        <v>53</v>
      </c>
      <c r="L25" s="54"/>
      <c r="M25" s="51"/>
      <c r="N25" s="55"/>
      <c r="O25" s="54"/>
    </row>
    <row r="26" s="1" customFormat="1" ht="18" customHeight="1" spans="1:15">
      <c r="A26" s="36">
        <v>43800</v>
      </c>
      <c r="B26" s="138">
        <f t="shared" si="4"/>
        <v>88495.58</v>
      </c>
      <c r="C26" s="38"/>
      <c r="D26" s="39" t="s">
        <v>40</v>
      </c>
      <c r="E26" s="41">
        <v>0.13</v>
      </c>
      <c r="F26" s="138">
        <f t="shared" si="5"/>
        <v>11504.42</v>
      </c>
      <c r="G26" s="135">
        <v>100000</v>
      </c>
      <c r="H26" s="24"/>
      <c r="I26" s="124"/>
      <c r="J26" s="51"/>
      <c r="K26" s="53" t="s">
        <v>54</v>
      </c>
      <c r="L26" s="54" t="s">
        <v>55</v>
      </c>
      <c r="M26" s="51"/>
      <c r="N26" s="55"/>
      <c r="O26" s="54"/>
    </row>
    <row r="27" s="1" customFormat="1" ht="18" customHeight="1" spans="1:15">
      <c r="A27" s="36">
        <v>43800</v>
      </c>
      <c r="B27" s="138">
        <f t="shared" si="4"/>
        <v>4660.19</v>
      </c>
      <c r="C27" s="38"/>
      <c r="D27" s="39" t="s">
        <v>40</v>
      </c>
      <c r="E27" s="41">
        <v>0.03</v>
      </c>
      <c r="F27" s="138">
        <f t="shared" si="5"/>
        <v>139.81</v>
      </c>
      <c r="G27" s="135">
        <v>4800</v>
      </c>
      <c r="H27" s="24"/>
      <c r="I27" s="124"/>
      <c r="J27" s="51"/>
      <c r="K27" s="53" t="s">
        <v>49</v>
      </c>
      <c r="L27" s="54" t="s">
        <v>56</v>
      </c>
      <c r="M27" s="51"/>
      <c r="N27" s="55"/>
      <c r="O27" s="54"/>
    </row>
    <row r="28" s="1" customFormat="1" ht="18" customHeight="1" spans="1:15">
      <c r="A28" s="36">
        <v>43800</v>
      </c>
      <c r="B28" s="138">
        <f t="shared" si="4"/>
        <v>88495.58</v>
      </c>
      <c r="C28" s="38"/>
      <c r="D28" s="39" t="s">
        <v>40</v>
      </c>
      <c r="E28" s="41">
        <v>0.13</v>
      </c>
      <c r="F28" s="138">
        <f t="shared" si="5"/>
        <v>11504.42</v>
      </c>
      <c r="G28" s="135">
        <v>100000</v>
      </c>
      <c r="H28" s="24"/>
      <c r="I28" s="124"/>
      <c r="J28" s="51"/>
      <c r="K28" s="53" t="s">
        <v>54</v>
      </c>
      <c r="L28" s="54" t="s">
        <v>57</v>
      </c>
      <c r="M28" s="51"/>
      <c r="N28" s="55"/>
      <c r="O28" s="54"/>
    </row>
    <row r="29" s="1" customFormat="1" ht="18" customHeight="1" spans="1:15">
      <c r="A29" s="36">
        <v>43800</v>
      </c>
      <c r="B29" s="138">
        <f t="shared" si="4"/>
        <v>2055</v>
      </c>
      <c r="C29" s="38"/>
      <c r="D29" s="39" t="s">
        <v>34</v>
      </c>
      <c r="E29" s="40"/>
      <c r="F29" s="138">
        <f t="shared" si="5"/>
        <v>0</v>
      </c>
      <c r="G29" s="135">
        <v>2055</v>
      </c>
      <c r="H29" s="24"/>
      <c r="I29" s="124"/>
      <c r="J29" s="51"/>
      <c r="K29" s="53" t="s">
        <v>53</v>
      </c>
      <c r="L29" s="54"/>
      <c r="M29" s="51"/>
      <c r="N29" s="55"/>
      <c r="O29" s="54"/>
    </row>
    <row r="30" s="1" customFormat="1" ht="18" customHeight="1" spans="1:15">
      <c r="A30" s="36">
        <v>43800</v>
      </c>
      <c r="B30" s="138">
        <f t="shared" si="4"/>
        <v>3192.45</v>
      </c>
      <c r="C30" s="38"/>
      <c r="D30" s="39" t="s">
        <v>40</v>
      </c>
      <c r="E30" s="41">
        <v>0.06</v>
      </c>
      <c r="F30" s="138">
        <f t="shared" si="5"/>
        <v>191.55</v>
      </c>
      <c r="G30" s="135">
        <v>3384</v>
      </c>
      <c r="H30" s="24"/>
      <c r="I30" s="124"/>
      <c r="J30" s="51"/>
      <c r="K30" s="53" t="s">
        <v>58</v>
      </c>
      <c r="L30" s="54" t="s">
        <v>59</v>
      </c>
      <c r="M30" s="51"/>
      <c r="N30" s="55"/>
      <c r="O30" s="54"/>
    </row>
    <row r="31" s="1" customFormat="1" ht="18" customHeight="1" spans="1:15">
      <c r="A31" s="36">
        <v>43800</v>
      </c>
      <c r="B31" s="138">
        <f t="shared" si="4"/>
        <v>413</v>
      </c>
      <c r="C31" s="38"/>
      <c r="D31" s="39" t="s">
        <v>34</v>
      </c>
      <c r="E31" s="40"/>
      <c r="F31" s="138">
        <f t="shared" si="5"/>
        <v>0</v>
      </c>
      <c r="G31" s="135">
        <v>413</v>
      </c>
      <c r="H31" s="24"/>
      <c r="I31" s="124"/>
      <c r="J31" s="51"/>
      <c r="K31" s="53" t="s">
        <v>60</v>
      </c>
      <c r="L31" s="54" t="s">
        <v>61</v>
      </c>
      <c r="M31" s="51"/>
      <c r="N31" s="55"/>
      <c r="O31" s="54"/>
    </row>
    <row r="32" s="1" customFormat="1" ht="18" customHeight="1" spans="1:15">
      <c r="A32" s="36">
        <v>43831</v>
      </c>
      <c r="B32" s="138">
        <f t="shared" si="4"/>
        <v>30000</v>
      </c>
      <c r="C32" s="38"/>
      <c r="D32" s="39" t="s">
        <v>34</v>
      </c>
      <c r="E32" s="40"/>
      <c r="F32" s="138">
        <f t="shared" si="5"/>
        <v>0</v>
      </c>
      <c r="G32" s="135">
        <v>30000</v>
      </c>
      <c r="H32" s="24"/>
      <c r="I32" s="124"/>
      <c r="J32" s="51"/>
      <c r="K32" s="53" t="s">
        <v>62</v>
      </c>
      <c r="L32" s="54" t="s">
        <v>63</v>
      </c>
      <c r="M32" s="51"/>
      <c r="N32" s="55"/>
      <c r="O32" s="54"/>
    </row>
    <row r="33" s="1" customFormat="1" ht="18" customHeight="1" spans="1:15">
      <c r="A33" s="36">
        <v>43831</v>
      </c>
      <c r="B33" s="138">
        <f t="shared" si="4"/>
        <v>30000</v>
      </c>
      <c r="C33" s="38"/>
      <c r="D33" s="39" t="s">
        <v>34</v>
      </c>
      <c r="E33" s="40"/>
      <c r="F33" s="138">
        <f t="shared" si="5"/>
        <v>0</v>
      </c>
      <c r="G33" s="135">
        <v>30000</v>
      </c>
      <c r="H33" s="24"/>
      <c r="I33" s="124"/>
      <c r="J33" s="51"/>
      <c r="K33" s="53" t="s">
        <v>62</v>
      </c>
      <c r="L33" s="54" t="s">
        <v>63</v>
      </c>
      <c r="M33" s="51"/>
      <c r="N33" s="55"/>
      <c r="O33" s="54"/>
    </row>
    <row r="34" s="1" customFormat="1" ht="18" customHeight="1" spans="1:15">
      <c r="A34" s="36">
        <v>43831</v>
      </c>
      <c r="B34" s="138">
        <f t="shared" si="4"/>
        <v>30000</v>
      </c>
      <c r="C34" s="38"/>
      <c r="D34" s="39" t="s">
        <v>34</v>
      </c>
      <c r="E34" s="40"/>
      <c r="F34" s="138">
        <f t="shared" si="5"/>
        <v>0</v>
      </c>
      <c r="G34" s="135">
        <v>30000</v>
      </c>
      <c r="H34" s="24"/>
      <c r="I34" s="124"/>
      <c r="J34" s="51"/>
      <c r="K34" s="53" t="s">
        <v>62</v>
      </c>
      <c r="L34" s="54" t="s">
        <v>63</v>
      </c>
      <c r="M34" s="51"/>
      <c r="N34" s="55"/>
      <c r="O34" s="54"/>
    </row>
    <row r="35" s="1" customFormat="1" ht="18" customHeight="1" spans="1:15">
      <c r="A35" s="36">
        <v>43831</v>
      </c>
      <c r="B35" s="138">
        <f t="shared" si="4"/>
        <v>130000</v>
      </c>
      <c r="C35" s="38"/>
      <c r="D35" s="39" t="s">
        <v>34</v>
      </c>
      <c r="E35" s="40"/>
      <c r="F35" s="138">
        <f t="shared" si="5"/>
        <v>0</v>
      </c>
      <c r="G35" s="135">
        <v>130000</v>
      </c>
      <c r="H35" s="24"/>
      <c r="I35" s="124"/>
      <c r="J35" s="51"/>
      <c r="K35" s="53" t="s">
        <v>64</v>
      </c>
      <c r="L35" s="54" t="s">
        <v>63</v>
      </c>
      <c r="M35" s="51"/>
      <c r="N35" s="55"/>
      <c r="O35" s="54"/>
    </row>
    <row r="36" s="1" customFormat="1" ht="18" customHeight="1" spans="1:15">
      <c r="A36" s="36">
        <v>43831</v>
      </c>
      <c r="B36" s="138">
        <f t="shared" si="4"/>
        <v>1605</v>
      </c>
      <c r="C36" s="38"/>
      <c r="D36" s="39" t="s">
        <v>34</v>
      </c>
      <c r="E36" s="40"/>
      <c r="F36" s="138">
        <f t="shared" si="5"/>
        <v>0</v>
      </c>
      <c r="G36" s="135">
        <v>1605</v>
      </c>
      <c r="H36" s="24"/>
      <c r="I36" s="124"/>
      <c r="J36" s="51"/>
      <c r="K36" s="53" t="s">
        <v>53</v>
      </c>
      <c r="L36" s="54"/>
      <c r="M36" s="51"/>
      <c r="N36" s="55"/>
      <c r="O36" s="54"/>
    </row>
    <row r="37" s="1" customFormat="1" ht="18" customHeight="1" spans="1:15">
      <c r="A37" s="36">
        <v>43831</v>
      </c>
      <c r="B37" s="138">
        <f t="shared" si="4"/>
        <v>279602.91</v>
      </c>
      <c r="C37" s="38"/>
      <c r="D37" s="39" t="s">
        <v>40</v>
      </c>
      <c r="E37" s="41">
        <v>0.03</v>
      </c>
      <c r="F37" s="138">
        <f t="shared" si="5"/>
        <v>8388.09</v>
      </c>
      <c r="G37" s="135">
        <v>287991</v>
      </c>
      <c r="H37" s="24"/>
      <c r="I37" s="124"/>
      <c r="J37" s="51"/>
      <c r="K37" s="53" t="s">
        <v>65</v>
      </c>
      <c r="L37" s="54" t="s">
        <v>66</v>
      </c>
      <c r="M37" s="141" t="s">
        <v>67</v>
      </c>
      <c r="N37" s="55"/>
      <c r="O37" s="54"/>
    </row>
    <row r="38" s="1" customFormat="1" ht="18" customHeight="1" spans="1:15">
      <c r="A38" s="36"/>
      <c r="B38" s="138">
        <f t="shared" si="4"/>
        <v>0</v>
      </c>
      <c r="C38" s="38"/>
      <c r="D38" s="39"/>
      <c r="E38" s="40"/>
      <c r="F38" s="139">
        <f t="shared" si="5"/>
        <v>0</v>
      </c>
      <c r="G38" s="135"/>
      <c r="H38" s="24">
        <v>43847</v>
      </c>
      <c r="I38" s="124">
        <v>456170</v>
      </c>
      <c r="J38" s="51" t="s">
        <v>68</v>
      </c>
      <c r="K38" s="53" t="s">
        <v>69</v>
      </c>
      <c r="L38" s="54" t="s">
        <v>70</v>
      </c>
      <c r="M38" s="51"/>
      <c r="N38" s="55"/>
      <c r="O38" s="54"/>
    </row>
    <row r="39" s="1" customFormat="1" ht="18" customHeight="1" spans="1:15">
      <c r="A39" s="36"/>
      <c r="B39" s="138">
        <f t="shared" si="4"/>
        <v>0</v>
      </c>
      <c r="C39" s="38"/>
      <c r="D39" s="39"/>
      <c r="E39" s="40"/>
      <c r="F39" s="139">
        <f t="shared" si="5"/>
        <v>0</v>
      </c>
      <c r="G39" s="135"/>
      <c r="H39" s="24">
        <v>43845</v>
      </c>
      <c r="I39" s="124">
        <v>-456170</v>
      </c>
      <c r="J39" s="51" t="s">
        <v>71</v>
      </c>
      <c r="K39" s="53" t="s">
        <v>72</v>
      </c>
      <c r="L39" s="54" t="s">
        <v>73</v>
      </c>
      <c r="M39" s="51"/>
      <c r="N39" s="55"/>
      <c r="O39" s="54"/>
    </row>
    <row r="40" s="1" customFormat="1" ht="18" customHeight="1" spans="1:15">
      <c r="A40" s="36"/>
      <c r="B40" s="138">
        <f t="shared" si="4"/>
        <v>0</v>
      </c>
      <c r="C40" s="38"/>
      <c r="D40" s="39"/>
      <c r="E40" s="40"/>
      <c r="F40" s="139">
        <f t="shared" si="5"/>
        <v>0</v>
      </c>
      <c r="G40" s="135"/>
      <c r="H40" s="24">
        <v>43849</v>
      </c>
      <c r="I40" s="124">
        <v>73858</v>
      </c>
      <c r="J40" s="51" t="s">
        <v>68</v>
      </c>
      <c r="K40" s="53" t="s">
        <v>74</v>
      </c>
      <c r="L40" s="54" t="s">
        <v>75</v>
      </c>
      <c r="M40" s="51"/>
      <c r="N40" s="55"/>
      <c r="O40" s="54"/>
    </row>
    <row r="41" s="1" customFormat="1" ht="18" customHeight="1" spans="1:15">
      <c r="A41" s="36"/>
      <c r="B41" s="138">
        <f t="shared" si="4"/>
        <v>0</v>
      </c>
      <c r="C41" s="38"/>
      <c r="D41" s="39"/>
      <c r="E41" s="40"/>
      <c r="F41" s="139">
        <f t="shared" si="5"/>
        <v>0</v>
      </c>
      <c r="G41" s="135"/>
      <c r="H41" s="24">
        <v>43847</v>
      </c>
      <c r="I41" s="124">
        <v>-73858</v>
      </c>
      <c r="J41" s="51" t="s">
        <v>71</v>
      </c>
      <c r="K41" s="53" t="s">
        <v>72</v>
      </c>
      <c r="L41" s="54" t="s">
        <v>73</v>
      </c>
      <c r="M41" s="51"/>
      <c r="N41" s="55"/>
      <c r="O41" s="54"/>
    </row>
    <row r="42" s="1" customFormat="1" ht="18" customHeight="1" spans="1:15">
      <c r="A42" s="36"/>
      <c r="B42" s="138">
        <f t="shared" si="4"/>
        <v>0</v>
      </c>
      <c r="C42" s="38"/>
      <c r="D42" s="39"/>
      <c r="E42" s="40"/>
      <c r="F42" s="139">
        <f t="shared" si="5"/>
        <v>0</v>
      </c>
      <c r="G42" s="135"/>
      <c r="H42" s="24">
        <v>43849</v>
      </c>
      <c r="I42" s="124">
        <v>80000</v>
      </c>
      <c r="J42" s="51" t="s">
        <v>68</v>
      </c>
      <c r="K42" s="53" t="s">
        <v>62</v>
      </c>
      <c r="L42" s="54" t="s">
        <v>75</v>
      </c>
      <c r="M42" s="51"/>
      <c r="N42" s="55"/>
      <c r="O42" s="54"/>
    </row>
    <row r="43" s="1" customFormat="1" ht="18" customHeight="1" spans="1:15">
      <c r="A43" s="36"/>
      <c r="B43" s="138">
        <f t="shared" si="4"/>
        <v>0</v>
      </c>
      <c r="C43" s="38"/>
      <c r="D43" s="39"/>
      <c r="E43" s="40"/>
      <c r="F43" s="139">
        <f t="shared" si="5"/>
        <v>0</v>
      </c>
      <c r="G43" s="135"/>
      <c r="H43" s="24">
        <v>43847</v>
      </c>
      <c r="I43" s="124">
        <v>-80000</v>
      </c>
      <c r="J43" s="51" t="s">
        <v>71</v>
      </c>
      <c r="K43" s="53" t="s">
        <v>72</v>
      </c>
      <c r="L43" s="54" t="s">
        <v>73</v>
      </c>
      <c r="M43" s="51"/>
      <c r="N43" s="55"/>
      <c r="O43" s="54"/>
    </row>
    <row r="44" s="1" customFormat="1" ht="18" customHeight="1" spans="1:15">
      <c r="A44" s="36"/>
      <c r="B44" s="138">
        <f t="shared" si="4"/>
        <v>0</v>
      </c>
      <c r="C44" s="38"/>
      <c r="D44" s="39"/>
      <c r="E44" s="40"/>
      <c r="F44" s="139">
        <f t="shared" si="5"/>
        <v>0</v>
      </c>
      <c r="G44" s="135"/>
      <c r="H44" s="24">
        <v>43849</v>
      </c>
      <c r="I44" s="124">
        <v>100000</v>
      </c>
      <c r="J44" s="51" t="s">
        <v>68</v>
      </c>
      <c r="K44" s="53" t="s">
        <v>76</v>
      </c>
      <c r="L44" s="54" t="s">
        <v>77</v>
      </c>
      <c r="M44" s="51"/>
      <c r="N44" s="55"/>
      <c r="O44" s="54"/>
    </row>
    <row r="45" s="1" customFormat="1" ht="18" customHeight="1" spans="1:15">
      <c r="A45" s="36"/>
      <c r="B45" s="138">
        <f t="shared" si="4"/>
        <v>0</v>
      </c>
      <c r="C45" s="38"/>
      <c r="D45" s="39"/>
      <c r="E45" s="40"/>
      <c r="F45" s="139">
        <f t="shared" si="5"/>
        <v>0</v>
      </c>
      <c r="G45" s="135"/>
      <c r="H45" s="24">
        <v>43847</v>
      </c>
      <c r="I45" s="124">
        <v>-100000</v>
      </c>
      <c r="J45" s="51" t="s">
        <v>71</v>
      </c>
      <c r="K45" s="53" t="s">
        <v>72</v>
      </c>
      <c r="L45" s="54" t="s">
        <v>73</v>
      </c>
      <c r="M45" s="51"/>
      <c r="N45" s="55"/>
      <c r="O45" s="54"/>
    </row>
    <row r="46" s="1" customFormat="1" ht="18" customHeight="1" spans="1:15">
      <c r="A46" s="36"/>
      <c r="B46" s="138">
        <f t="shared" si="4"/>
        <v>0</v>
      </c>
      <c r="C46" s="38"/>
      <c r="D46" s="39"/>
      <c r="E46" s="40"/>
      <c r="F46" s="138">
        <f t="shared" si="5"/>
        <v>0</v>
      </c>
      <c r="G46" s="135"/>
      <c r="H46" s="24">
        <v>43850</v>
      </c>
      <c r="I46" s="124">
        <v>415472</v>
      </c>
      <c r="J46" s="51" t="s">
        <v>68</v>
      </c>
      <c r="K46" s="53" t="s">
        <v>78</v>
      </c>
      <c r="L46" s="54" t="s">
        <v>79</v>
      </c>
      <c r="M46" s="51"/>
      <c r="N46" s="55"/>
      <c r="O46" s="54"/>
    </row>
    <row r="47" s="1" customFormat="1" ht="18" customHeight="1" spans="1:15">
      <c r="A47" s="36"/>
      <c r="B47" s="138">
        <f t="shared" si="4"/>
        <v>0</v>
      </c>
      <c r="C47" s="38"/>
      <c r="D47" s="39"/>
      <c r="E47" s="40"/>
      <c r="F47" s="138">
        <f t="shared" si="5"/>
        <v>0</v>
      </c>
      <c r="G47" s="135"/>
      <c r="H47" s="24">
        <v>43849</v>
      </c>
      <c r="I47" s="124">
        <v>-415972</v>
      </c>
      <c r="J47" s="51" t="s">
        <v>71</v>
      </c>
      <c r="K47" s="53" t="s">
        <v>72</v>
      </c>
      <c r="L47" s="54" t="s">
        <v>73</v>
      </c>
      <c r="M47" s="51"/>
      <c r="N47" s="55"/>
      <c r="O47" s="54"/>
    </row>
    <row r="48" s="1" customFormat="1" ht="18" customHeight="1" spans="1:15">
      <c r="A48" s="36"/>
      <c r="B48" s="138">
        <f t="shared" si="4"/>
        <v>0</v>
      </c>
      <c r="C48" s="38"/>
      <c r="D48" s="39"/>
      <c r="E48" s="40"/>
      <c r="F48" s="138">
        <f t="shared" si="5"/>
        <v>0</v>
      </c>
      <c r="G48" s="135"/>
      <c r="H48" s="24">
        <v>43850</v>
      </c>
      <c r="I48" s="124">
        <v>245359</v>
      </c>
      <c r="J48" s="51" t="s">
        <v>68</v>
      </c>
      <c r="K48" s="53" t="s">
        <v>54</v>
      </c>
      <c r="L48" s="54" t="s">
        <v>80</v>
      </c>
      <c r="M48" s="51"/>
      <c r="N48" s="55"/>
      <c r="O48" s="54"/>
    </row>
    <row r="49" s="1" customFormat="1" ht="18" customHeight="1" spans="1:15">
      <c r="A49" s="36"/>
      <c r="B49" s="138">
        <f t="shared" si="4"/>
        <v>0</v>
      </c>
      <c r="C49" s="38"/>
      <c r="D49" s="39"/>
      <c r="E49" s="40"/>
      <c r="F49" s="138">
        <f t="shared" si="5"/>
        <v>0</v>
      </c>
      <c r="G49" s="135"/>
      <c r="H49" s="24">
        <v>43849</v>
      </c>
      <c r="I49" s="124">
        <v>-245359</v>
      </c>
      <c r="J49" s="51" t="s">
        <v>71</v>
      </c>
      <c r="K49" s="53" t="s">
        <v>72</v>
      </c>
      <c r="L49" s="54" t="s">
        <v>73</v>
      </c>
      <c r="M49" s="51"/>
      <c r="N49" s="55"/>
      <c r="O49" s="54"/>
    </row>
    <row r="50" s="1" customFormat="1" ht="18" customHeight="1" spans="1:15">
      <c r="A50" s="36"/>
      <c r="B50" s="138">
        <f t="shared" si="4"/>
        <v>0</v>
      </c>
      <c r="C50" s="38"/>
      <c r="D50" s="39"/>
      <c r="E50" s="40"/>
      <c r="F50" s="138">
        <f t="shared" si="5"/>
        <v>0</v>
      </c>
      <c r="G50" s="135"/>
      <c r="H50" s="24">
        <v>43851</v>
      </c>
      <c r="I50" s="124">
        <v>287991</v>
      </c>
      <c r="J50" s="51" t="s">
        <v>68</v>
      </c>
      <c r="K50" s="53" t="s">
        <v>65</v>
      </c>
      <c r="L50" s="54" t="s">
        <v>77</v>
      </c>
      <c r="M50" s="142" t="s">
        <v>81</v>
      </c>
      <c r="N50" s="55"/>
      <c r="O50" s="54" t="s">
        <v>82</v>
      </c>
    </row>
    <row r="51" s="1" customFormat="1" ht="18" customHeight="1" spans="1:15">
      <c r="A51" s="36"/>
      <c r="B51" s="138">
        <f t="shared" si="4"/>
        <v>0</v>
      </c>
      <c r="C51" s="38"/>
      <c r="D51" s="39"/>
      <c r="E51" s="40"/>
      <c r="F51" s="138">
        <f t="shared" si="5"/>
        <v>0</v>
      </c>
      <c r="G51" s="135"/>
      <c r="H51" s="24">
        <v>43850</v>
      </c>
      <c r="I51" s="124">
        <v>-287991</v>
      </c>
      <c r="J51" s="51" t="s">
        <v>71</v>
      </c>
      <c r="K51" s="53" t="s">
        <v>72</v>
      </c>
      <c r="L51" s="54" t="s">
        <v>73</v>
      </c>
      <c r="M51" s="51"/>
      <c r="N51" s="55"/>
      <c r="O51" s="54"/>
    </row>
    <row r="52" s="1" customFormat="1" ht="18" customHeight="1" spans="1:15">
      <c r="A52" s="36"/>
      <c r="B52" s="138">
        <f t="shared" si="4"/>
        <v>0</v>
      </c>
      <c r="C52" s="38"/>
      <c r="D52" s="39"/>
      <c r="E52" s="40"/>
      <c r="F52" s="138">
        <f t="shared" si="5"/>
        <v>0</v>
      </c>
      <c r="G52" s="135"/>
      <c r="H52" s="24">
        <v>43852</v>
      </c>
      <c r="I52" s="124">
        <v>78824</v>
      </c>
      <c r="J52" s="51" t="s">
        <v>68</v>
      </c>
      <c r="K52" s="53" t="s">
        <v>83</v>
      </c>
      <c r="L52" s="54" t="s">
        <v>63</v>
      </c>
      <c r="M52" s="51"/>
      <c r="N52" s="55"/>
      <c r="O52" s="54"/>
    </row>
    <row r="53" s="1" customFormat="1" ht="18" customHeight="1" spans="1:15">
      <c r="A53" s="36"/>
      <c r="B53" s="138">
        <f t="shared" si="4"/>
        <v>0</v>
      </c>
      <c r="C53" s="38"/>
      <c r="D53" s="39"/>
      <c r="E53" s="40"/>
      <c r="F53" s="138">
        <f t="shared" si="5"/>
        <v>0</v>
      </c>
      <c r="G53" s="135"/>
      <c r="H53" s="24">
        <v>43852</v>
      </c>
      <c r="I53" s="124">
        <v>70820</v>
      </c>
      <c r="J53" s="51" t="s">
        <v>68</v>
      </c>
      <c r="K53" s="53" t="s">
        <v>84</v>
      </c>
      <c r="L53" s="54" t="s">
        <v>63</v>
      </c>
      <c r="M53" s="51"/>
      <c r="N53" s="55"/>
      <c r="O53" s="54"/>
    </row>
    <row r="54" s="1" customFormat="1" ht="18" customHeight="1" spans="1:15">
      <c r="A54" s="36"/>
      <c r="B54" s="138">
        <f t="shared" si="4"/>
        <v>0</v>
      </c>
      <c r="C54" s="38"/>
      <c r="D54" s="39"/>
      <c r="E54" s="40"/>
      <c r="F54" s="138">
        <f t="shared" si="5"/>
        <v>0</v>
      </c>
      <c r="G54" s="135"/>
      <c r="H54" s="24">
        <v>43852</v>
      </c>
      <c r="I54" s="124">
        <v>223537</v>
      </c>
      <c r="J54" s="51" t="s">
        <v>68</v>
      </c>
      <c r="K54" s="53" t="s">
        <v>85</v>
      </c>
      <c r="L54" s="54" t="s">
        <v>63</v>
      </c>
      <c r="M54" s="51"/>
      <c r="N54" s="55"/>
      <c r="O54" s="54"/>
    </row>
    <row r="55" s="1" customFormat="1" ht="18" customHeight="1" spans="1:15">
      <c r="A55" s="36"/>
      <c r="B55" s="138">
        <f t="shared" si="4"/>
        <v>0</v>
      </c>
      <c r="C55" s="38"/>
      <c r="D55" s="39"/>
      <c r="E55" s="40"/>
      <c r="F55" s="138">
        <f t="shared" si="5"/>
        <v>0</v>
      </c>
      <c r="G55" s="135"/>
      <c r="H55" s="24">
        <v>43852</v>
      </c>
      <c r="I55" s="124">
        <v>247662</v>
      </c>
      <c r="J55" s="51" t="s">
        <v>68</v>
      </c>
      <c r="K55" s="53" t="s">
        <v>86</v>
      </c>
      <c r="L55" s="54" t="s">
        <v>87</v>
      </c>
      <c r="M55" s="51"/>
      <c r="N55" s="55"/>
      <c r="O55" s="54"/>
    </row>
    <row r="56" s="1" customFormat="1" ht="18" customHeight="1" spans="1:15">
      <c r="A56" s="36"/>
      <c r="B56" s="138">
        <f t="shared" si="4"/>
        <v>0</v>
      </c>
      <c r="C56" s="38"/>
      <c r="D56" s="39"/>
      <c r="E56" s="40"/>
      <c r="F56" s="138">
        <f t="shared" si="5"/>
        <v>0</v>
      </c>
      <c r="G56" s="135"/>
      <c r="H56" s="24">
        <v>43852</v>
      </c>
      <c r="I56" s="124">
        <v>100000</v>
      </c>
      <c r="J56" s="51" t="s">
        <v>68</v>
      </c>
      <c r="K56" s="53" t="s">
        <v>88</v>
      </c>
      <c r="L56" s="54" t="s">
        <v>89</v>
      </c>
      <c r="M56" s="51"/>
      <c r="N56" s="55"/>
      <c r="O56" s="54"/>
    </row>
    <row r="57" s="1" customFormat="1" ht="18" customHeight="1" spans="1:15">
      <c r="A57" s="36"/>
      <c r="B57" s="138">
        <f t="shared" si="4"/>
        <v>0</v>
      </c>
      <c r="C57" s="38"/>
      <c r="D57" s="39"/>
      <c r="E57" s="40"/>
      <c r="F57" s="138">
        <f t="shared" si="5"/>
        <v>0</v>
      </c>
      <c r="G57" s="135"/>
      <c r="H57" s="24">
        <v>43852</v>
      </c>
      <c r="I57" s="124">
        <v>54736</v>
      </c>
      <c r="J57" s="51" t="s">
        <v>68</v>
      </c>
      <c r="K57" s="53" t="s">
        <v>83</v>
      </c>
      <c r="L57" s="54" t="s">
        <v>63</v>
      </c>
      <c r="M57" s="51"/>
      <c r="N57" s="55"/>
      <c r="O57" s="54"/>
    </row>
    <row r="58" s="1" customFormat="1" ht="18" customHeight="1" spans="1:15">
      <c r="A58" s="36"/>
      <c r="B58" s="138">
        <f t="shared" si="4"/>
        <v>0</v>
      </c>
      <c r="C58" s="38"/>
      <c r="D58" s="39"/>
      <c r="E58" s="40"/>
      <c r="F58" s="138">
        <f t="shared" si="5"/>
        <v>0</v>
      </c>
      <c r="G58" s="135"/>
      <c r="H58" s="24">
        <v>43851</v>
      </c>
      <c r="I58" s="124">
        <v>-100000</v>
      </c>
      <c r="J58" s="51" t="s">
        <v>71</v>
      </c>
      <c r="K58" s="53" t="s">
        <v>72</v>
      </c>
      <c r="L58" s="54" t="s">
        <v>73</v>
      </c>
      <c r="M58" s="51"/>
      <c r="N58" s="55"/>
      <c r="O58" s="54"/>
    </row>
    <row r="59" s="1" customFormat="1" ht="18" customHeight="1" spans="1:15">
      <c r="A59" s="36"/>
      <c r="B59" s="138">
        <f t="shared" si="4"/>
        <v>0</v>
      </c>
      <c r="C59" s="38"/>
      <c r="D59" s="39"/>
      <c r="E59" s="40"/>
      <c r="F59" s="138">
        <f t="shared" si="5"/>
        <v>0</v>
      </c>
      <c r="G59" s="135"/>
      <c r="H59" s="24">
        <v>43851</v>
      </c>
      <c r="I59" s="124">
        <v>-276079</v>
      </c>
      <c r="J59" s="51" t="s">
        <v>71</v>
      </c>
      <c r="K59" s="53" t="s">
        <v>72</v>
      </c>
      <c r="L59" s="54" t="s">
        <v>73</v>
      </c>
      <c r="M59" s="51"/>
      <c r="N59" s="55"/>
      <c r="O59" s="54"/>
    </row>
    <row r="60" s="1" customFormat="1" ht="18" customHeight="1" spans="1:15">
      <c r="A60" s="36"/>
      <c r="B60" s="138">
        <f t="shared" si="4"/>
        <v>0</v>
      </c>
      <c r="C60" s="38"/>
      <c r="D60" s="39"/>
      <c r="E60" s="40"/>
      <c r="F60" s="138">
        <f t="shared" si="5"/>
        <v>0</v>
      </c>
      <c r="G60" s="135"/>
      <c r="H60" s="24">
        <v>43851</v>
      </c>
      <c r="I60" s="124">
        <v>-400000</v>
      </c>
      <c r="J60" s="51" t="s">
        <v>71</v>
      </c>
      <c r="K60" s="53" t="s">
        <v>72</v>
      </c>
      <c r="L60" s="54" t="s">
        <v>73</v>
      </c>
      <c r="M60" s="51"/>
      <c r="N60" s="55"/>
      <c r="O60" s="54"/>
    </row>
    <row r="61" s="1" customFormat="1" ht="18" customHeight="1" spans="1:15">
      <c r="A61" s="36">
        <v>43891</v>
      </c>
      <c r="B61" s="138">
        <f t="shared" si="4"/>
        <v>143384.73</v>
      </c>
      <c r="C61" s="38">
        <v>1</v>
      </c>
      <c r="D61" s="39" t="s">
        <v>34</v>
      </c>
      <c r="E61" s="40"/>
      <c r="F61" s="138">
        <f t="shared" si="5"/>
        <v>0</v>
      </c>
      <c r="G61" s="140">
        <v>143384.73</v>
      </c>
      <c r="H61" s="24"/>
      <c r="I61" s="124"/>
      <c r="J61" s="51"/>
      <c r="K61" s="53" t="s">
        <v>76</v>
      </c>
      <c r="L61" s="54" t="s">
        <v>90</v>
      </c>
      <c r="M61" s="51" t="s">
        <v>91</v>
      </c>
      <c r="N61" s="55"/>
      <c r="O61" s="54"/>
    </row>
    <row r="62" s="1" customFormat="1" ht="18" customHeight="1" spans="1:15">
      <c r="A62" s="44">
        <v>43891</v>
      </c>
      <c r="B62" s="138">
        <f t="shared" si="4"/>
        <v>132743.36</v>
      </c>
      <c r="C62" s="45">
        <v>2</v>
      </c>
      <c r="D62" s="46" t="s">
        <v>40</v>
      </c>
      <c r="E62" s="41">
        <v>0.13</v>
      </c>
      <c r="F62" s="138">
        <f t="shared" si="5"/>
        <v>17256.64</v>
      </c>
      <c r="G62" s="135">
        <f>100000+50000</f>
        <v>150000</v>
      </c>
      <c r="H62" s="47"/>
      <c r="I62" s="134"/>
      <c r="J62" s="57"/>
      <c r="K62" s="58" t="s">
        <v>54</v>
      </c>
      <c r="L62" s="54" t="s">
        <v>92</v>
      </c>
      <c r="M62" s="51"/>
      <c r="N62" s="55"/>
      <c r="O62" s="54"/>
    </row>
    <row r="63" s="1" customFormat="1" ht="18" customHeight="1" spans="1:15">
      <c r="A63" s="44">
        <v>43891</v>
      </c>
      <c r="B63" s="138">
        <f t="shared" si="4"/>
        <v>442883.5</v>
      </c>
      <c r="C63" s="45">
        <v>5</v>
      </c>
      <c r="D63" s="46" t="s">
        <v>40</v>
      </c>
      <c r="E63" s="41">
        <v>0.03</v>
      </c>
      <c r="F63" s="138">
        <f t="shared" si="5"/>
        <v>13286.5</v>
      </c>
      <c r="G63" s="135">
        <f>100000*4+56170</f>
        <v>456170</v>
      </c>
      <c r="H63" s="47"/>
      <c r="I63" s="134"/>
      <c r="J63" s="57"/>
      <c r="K63" s="58" t="s">
        <v>69</v>
      </c>
      <c r="L63" s="54" t="s">
        <v>93</v>
      </c>
      <c r="M63" s="51"/>
      <c r="N63" s="55" t="s">
        <v>94</v>
      </c>
      <c r="O63" s="54"/>
    </row>
    <row r="64" s="1" customFormat="1" ht="18" customHeight="1" spans="1:15">
      <c r="A64" s="44">
        <v>43891</v>
      </c>
      <c r="B64" s="138">
        <f t="shared" si="4"/>
        <v>960</v>
      </c>
      <c r="C64" s="45"/>
      <c r="D64" s="46" t="s">
        <v>95</v>
      </c>
      <c r="E64" s="41"/>
      <c r="F64" s="138">
        <f t="shared" si="5"/>
        <v>0</v>
      </c>
      <c r="G64" s="135">
        <f>200+248+200+312</f>
        <v>960</v>
      </c>
      <c r="H64" s="47"/>
      <c r="I64" s="134"/>
      <c r="J64" s="57"/>
      <c r="K64" s="58" t="s">
        <v>53</v>
      </c>
      <c r="L64" s="54"/>
      <c r="M64" s="51"/>
      <c r="N64" s="55"/>
      <c r="O64" s="54"/>
    </row>
    <row r="65" s="1" customFormat="1" ht="18" customHeight="1" spans="1:15">
      <c r="A65" s="44">
        <v>43891</v>
      </c>
      <c r="B65" s="138">
        <f t="shared" si="4"/>
        <v>6600</v>
      </c>
      <c r="C65" s="45">
        <v>1</v>
      </c>
      <c r="D65" s="46" t="s">
        <v>34</v>
      </c>
      <c r="E65" s="41"/>
      <c r="F65" s="138">
        <f t="shared" si="5"/>
        <v>0</v>
      </c>
      <c r="G65" s="135">
        <v>6600</v>
      </c>
      <c r="H65" s="47"/>
      <c r="I65" s="134"/>
      <c r="J65" s="57"/>
      <c r="K65" s="58" t="s">
        <v>96</v>
      </c>
      <c r="L65" s="54" t="s">
        <v>97</v>
      </c>
      <c r="M65" s="51"/>
      <c r="N65" s="55" t="s">
        <v>98</v>
      </c>
      <c r="O65" s="54"/>
    </row>
    <row r="66" s="1" customFormat="1" ht="18" customHeight="1" spans="1:15">
      <c r="A66" s="44">
        <v>43891</v>
      </c>
      <c r="B66" s="138">
        <f t="shared" si="4"/>
        <v>260000</v>
      </c>
      <c r="C66" s="45">
        <v>3</v>
      </c>
      <c r="D66" s="46" t="s">
        <v>34</v>
      </c>
      <c r="E66" s="41"/>
      <c r="F66" s="138">
        <f t="shared" si="5"/>
        <v>0</v>
      </c>
      <c r="G66" s="135">
        <v>260000</v>
      </c>
      <c r="H66" s="47"/>
      <c r="I66" s="134"/>
      <c r="J66" s="57"/>
      <c r="K66" s="58" t="s">
        <v>85</v>
      </c>
      <c r="L66" s="54" t="s">
        <v>99</v>
      </c>
      <c r="M66" s="51" t="s">
        <v>100</v>
      </c>
      <c r="N66" s="55" t="s">
        <v>101</v>
      </c>
      <c r="O66" s="54"/>
    </row>
    <row r="67" s="1" customFormat="1" ht="18" customHeight="1" spans="1:15">
      <c r="A67" s="44">
        <v>43891</v>
      </c>
      <c r="B67" s="138">
        <f t="shared" si="4"/>
        <v>291262.14</v>
      </c>
      <c r="C67" s="45">
        <v>1</v>
      </c>
      <c r="D67" s="46" t="s">
        <v>102</v>
      </c>
      <c r="E67" s="41">
        <v>0.03</v>
      </c>
      <c r="F67" s="138">
        <f t="shared" si="5"/>
        <v>8737.86</v>
      </c>
      <c r="G67" s="135">
        <v>300000</v>
      </c>
      <c r="H67" s="47"/>
      <c r="I67" s="134"/>
      <c r="J67" s="57"/>
      <c r="K67" s="58" t="s">
        <v>86</v>
      </c>
      <c r="L67" s="54" t="s">
        <v>103</v>
      </c>
      <c r="M67" s="51" t="s">
        <v>94</v>
      </c>
      <c r="N67" s="55"/>
      <c r="O67" s="54"/>
    </row>
    <row r="68" s="2" customFormat="1" ht="18" customHeight="1" spans="1:15">
      <c r="A68" s="59">
        <v>43891</v>
      </c>
      <c r="B68" s="140">
        <f t="shared" si="4"/>
        <v>70620</v>
      </c>
      <c r="C68" s="60">
        <v>1</v>
      </c>
      <c r="D68" s="61" t="s">
        <v>34</v>
      </c>
      <c r="E68" s="62"/>
      <c r="F68" s="140">
        <f t="shared" si="5"/>
        <v>0</v>
      </c>
      <c r="G68" s="140">
        <v>70620</v>
      </c>
      <c r="H68" s="63"/>
      <c r="I68" s="154"/>
      <c r="J68" s="91"/>
      <c r="K68" s="92" t="s">
        <v>84</v>
      </c>
      <c r="L68" s="93" t="s">
        <v>63</v>
      </c>
      <c r="M68" s="142" t="s">
        <v>104</v>
      </c>
      <c r="N68" s="94" t="s">
        <v>105</v>
      </c>
      <c r="O68" s="93"/>
    </row>
    <row r="69" s="1" customFormat="1" ht="18" customHeight="1" spans="1:15">
      <c r="A69" s="44">
        <v>43891</v>
      </c>
      <c r="B69" s="138">
        <f t="shared" si="4"/>
        <v>137284</v>
      </c>
      <c r="C69" s="45">
        <v>2</v>
      </c>
      <c r="D69" s="46" t="s">
        <v>34</v>
      </c>
      <c r="E69" s="41"/>
      <c r="F69" s="138">
        <f t="shared" si="5"/>
        <v>0</v>
      </c>
      <c r="G69" s="135">
        <v>137284</v>
      </c>
      <c r="H69" s="47"/>
      <c r="I69" s="134"/>
      <c r="J69" s="57"/>
      <c r="K69" s="58" t="s">
        <v>83</v>
      </c>
      <c r="L69" s="54" t="s">
        <v>63</v>
      </c>
      <c r="M69" s="51" t="s">
        <v>100</v>
      </c>
      <c r="N69" s="55" t="s">
        <v>105</v>
      </c>
      <c r="O69" s="54"/>
    </row>
    <row r="70" s="1" customFormat="1" ht="18" customHeight="1" spans="1:15">
      <c r="A70" s="44">
        <v>43891</v>
      </c>
      <c r="B70" s="138">
        <f t="shared" si="4"/>
        <v>403370.87</v>
      </c>
      <c r="C70" s="45">
        <v>1</v>
      </c>
      <c r="D70" s="46" t="s">
        <v>102</v>
      </c>
      <c r="E70" s="41">
        <v>0.03</v>
      </c>
      <c r="F70" s="138">
        <f t="shared" si="5"/>
        <v>12101.13</v>
      </c>
      <c r="G70" s="135">
        <v>415472</v>
      </c>
      <c r="H70" s="47"/>
      <c r="I70" s="134"/>
      <c r="J70" s="57"/>
      <c r="K70" s="58" t="s">
        <v>78</v>
      </c>
      <c r="L70" s="54" t="s">
        <v>90</v>
      </c>
      <c r="M70" s="51" t="s">
        <v>106</v>
      </c>
      <c r="N70" s="55"/>
      <c r="O70" s="54"/>
    </row>
    <row r="71" s="3" customFormat="1" ht="18" customHeight="1" spans="1:15">
      <c r="A71" s="64">
        <v>43891</v>
      </c>
      <c r="B71" s="143">
        <f t="shared" si="4"/>
        <v>245</v>
      </c>
      <c r="C71" s="66">
        <v>1</v>
      </c>
      <c r="D71" s="67" t="s">
        <v>95</v>
      </c>
      <c r="E71" s="68"/>
      <c r="F71" s="143">
        <f t="shared" si="5"/>
        <v>0</v>
      </c>
      <c r="G71" s="144">
        <v>245</v>
      </c>
      <c r="H71" s="70"/>
      <c r="I71" s="155"/>
      <c r="J71" s="96"/>
      <c r="K71" s="97" t="s">
        <v>53</v>
      </c>
      <c r="L71" s="98"/>
      <c r="M71" s="156"/>
      <c r="N71" s="99"/>
      <c r="O71" s="98"/>
    </row>
    <row r="72" s="4" customFormat="1" ht="18" customHeight="1" spans="1:16">
      <c r="A72" s="71"/>
      <c r="B72" s="139">
        <f t="shared" si="4"/>
        <v>0</v>
      </c>
      <c r="C72" s="72"/>
      <c r="D72" s="37"/>
      <c r="E72" s="41"/>
      <c r="F72" s="139">
        <f t="shared" si="5"/>
        <v>0</v>
      </c>
      <c r="G72" s="145"/>
      <c r="H72" s="47"/>
      <c r="I72" s="134"/>
      <c r="J72" s="55"/>
      <c r="K72" s="58" t="s">
        <v>107</v>
      </c>
      <c r="L72" s="55" t="s">
        <v>108</v>
      </c>
      <c r="M72" s="34"/>
      <c r="N72" s="55" t="s">
        <v>109</v>
      </c>
      <c r="O72" s="54" t="s">
        <v>110</v>
      </c>
      <c r="P72" s="4" t="s">
        <v>111</v>
      </c>
    </row>
    <row r="73" s="1" customFormat="1" ht="18" customHeight="1" spans="1:15">
      <c r="A73" s="36">
        <v>43941</v>
      </c>
      <c r="B73" s="139">
        <f t="shared" si="4"/>
        <v>2389.38</v>
      </c>
      <c r="C73" s="72">
        <v>1</v>
      </c>
      <c r="D73" s="37" t="s">
        <v>40</v>
      </c>
      <c r="E73" s="41">
        <v>0.13</v>
      </c>
      <c r="F73" s="139">
        <f t="shared" si="5"/>
        <v>310.62</v>
      </c>
      <c r="G73" s="145">
        <f>2700</f>
        <v>2700</v>
      </c>
      <c r="H73" s="47"/>
      <c r="I73" s="134"/>
      <c r="J73" s="55"/>
      <c r="K73" s="58" t="s">
        <v>112</v>
      </c>
      <c r="L73" s="55" t="s">
        <v>113</v>
      </c>
      <c r="M73" s="34"/>
      <c r="N73" s="55"/>
      <c r="O73" s="54"/>
    </row>
    <row r="74" s="1" customFormat="1" ht="18" customHeight="1" spans="1:15">
      <c r="A74" s="74">
        <v>43941</v>
      </c>
      <c r="B74" s="139">
        <f t="shared" si="4"/>
        <v>2200</v>
      </c>
      <c r="C74" s="38">
        <v>1</v>
      </c>
      <c r="D74" s="46" t="s">
        <v>34</v>
      </c>
      <c r="E74" s="41"/>
      <c r="F74" s="139">
        <f t="shared" si="5"/>
        <v>0</v>
      </c>
      <c r="G74" s="145">
        <v>2200</v>
      </c>
      <c r="H74" s="47"/>
      <c r="I74" s="138"/>
      <c r="J74" s="55"/>
      <c r="K74" s="58" t="s">
        <v>114</v>
      </c>
      <c r="L74" s="54" t="s">
        <v>115</v>
      </c>
      <c r="M74" s="51"/>
      <c r="N74" s="55"/>
      <c r="O74" s="54"/>
    </row>
    <row r="75" s="1" customFormat="1" ht="18" customHeight="1" spans="1:15">
      <c r="A75" s="75">
        <v>43941</v>
      </c>
      <c r="B75" s="138">
        <f t="shared" si="4"/>
        <v>15346.53</v>
      </c>
      <c r="C75" s="38">
        <v>1</v>
      </c>
      <c r="D75" s="39" t="s">
        <v>40</v>
      </c>
      <c r="E75" s="41">
        <v>0.01</v>
      </c>
      <c r="F75" s="139">
        <f t="shared" si="5"/>
        <v>153.47</v>
      </c>
      <c r="G75" s="145">
        <v>15500</v>
      </c>
      <c r="H75" s="47"/>
      <c r="I75" s="138"/>
      <c r="J75" s="55" t="s">
        <v>116</v>
      </c>
      <c r="K75" s="58" t="s">
        <v>117</v>
      </c>
      <c r="L75" s="54" t="s">
        <v>56</v>
      </c>
      <c r="M75" s="51"/>
      <c r="N75" s="55"/>
      <c r="O75" s="54"/>
    </row>
    <row r="76" s="1" customFormat="1" ht="18" customHeight="1" spans="1:15">
      <c r="A76" s="36">
        <v>43941</v>
      </c>
      <c r="B76" s="146">
        <f t="shared" si="4"/>
        <v>2500</v>
      </c>
      <c r="C76" s="77">
        <v>5</v>
      </c>
      <c r="D76" s="78" t="s">
        <v>34</v>
      </c>
      <c r="E76" s="79"/>
      <c r="F76" s="139">
        <f t="shared" si="5"/>
        <v>0</v>
      </c>
      <c r="G76" s="135">
        <f>200+600+900+600+200</f>
        <v>2500</v>
      </c>
      <c r="H76" s="47"/>
      <c r="I76" s="138"/>
      <c r="J76" s="55"/>
      <c r="K76" s="58" t="s">
        <v>118</v>
      </c>
      <c r="L76" s="54" t="s">
        <v>119</v>
      </c>
      <c r="M76" s="51" t="s">
        <v>120</v>
      </c>
      <c r="N76" s="55"/>
      <c r="O76" s="54"/>
    </row>
    <row r="77" s="1" customFormat="1" ht="18" customHeight="1" spans="1:15">
      <c r="A77" s="36">
        <v>44002</v>
      </c>
      <c r="B77" s="138">
        <f t="shared" si="4"/>
        <v>720</v>
      </c>
      <c r="C77" s="38">
        <v>1</v>
      </c>
      <c r="D77" s="78" t="s">
        <v>34</v>
      </c>
      <c r="E77" s="41"/>
      <c r="F77" s="139">
        <f t="shared" si="5"/>
        <v>0</v>
      </c>
      <c r="G77" s="135">
        <v>720</v>
      </c>
      <c r="H77" s="47"/>
      <c r="I77" s="138"/>
      <c r="J77" s="55"/>
      <c r="K77" s="58" t="s">
        <v>121</v>
      </c>
      <c r="L77" s="53" t="s">
        <v>122</v>
      </c>
      <c r="M77" s="51"/>
      <c r="N77" s="55"/>
      <c r="O77" s="54"/>
    </row>
    <row r="78" s="1" customFormat="1" ht="18" customHeight="1" spans="1:15">
      <c r="A78" s="36">
        <v>44002</v>
      </c>
      <c r="B78" s="138">
        <f t="shared" ref="B78:B112" si="6">ROUND(G78/(1+E78),2)</f>
        <v>6440</v>
      </c>
      <c r="C78" s="38">
        <v>10</v>
      </c>
      <c r="D78" s="78" t="s">
        <v>34</v>
      </c>
      <c r="E78" s="41"/>
      <c r="F78" s="139">
        <f t="shared" ref="F78:F111" si="7">ROUND(G78/(1+E78)*E78,2)</f>
        <v>0</v>
      </c>
      <c r="G78" s="135">
        <f>600+570+600+550+1100+600+1000+580+600+240</f>
        <v>6440</v>
      </c>
      <c r="H78" s="47"/>
      <c r="I78" s="138"/>
      <c r="J78" s="55"/>
      <c r="K78" s="53" t="s">
        <v>118</v>
      </c>
      <c r="L78" s="54" t="s">
        <v>123</v>
      </c>
      <c r="M78" s="51" t="s">
        <v>120</v>
      </c>
      <c r="N78" s="55"/>
      <c r="O78" s="54"/>
    </row>
    <row r="79" s="1" customFormat="1" ht="18" customHeight="1" spans="1:15">
      <c r="A79" s="36">
        <v>44002</v>
      </c>
      <c r="B79" s="138">
        <f t="shared" si="6"/>
        <v>2105.01</v>
      </c>
      <c r="C79" s="38">
        <v>12</v>
      </c>
      <c r="D79" s="78" t="s">
        <v>34</v>
      </c>
      <c r="E79" s="41"/>
      <c r="F79" s="139">
        <f t="shared" si="7"/>
        <v>0</v>
      </c>
      <c r="G79" s="135">
        <f>150+170+190+145+175+150+160+150+170+245.01+200+200</f>
        <v>2105.01</v>
      </c>
      <c r="H79" s="47"/>
      <c r="I79" s="138"/>
      <c r="J79" s="55"/>
      <c r="K79" s="53" t="s">
        <v>118</v>
      </c>
      <c r="L79" s="54" t="s">
        <v>124</v>
      </c>
      <c r="M79" s="51" t="s">
        <v>120</v>
      </c>
      <c r="N79" s="55"/>
      <c r="O79" s="54"/>
    </row>
    <row r="80" s="1" customFormat="1" ht="18" customHeight="1" spans="1:15">
      <c r="A80" s="36">
        <v>44002</v>
      </c>
      <c r="B80" s="138">
        <f t="shared" si="6"/>
        <v>4500</v>
      </c>
      <c r="C80" s="38">
        <v>1</v>
      </c>
      <c r="D80" s="78" t="s">
        <v>34</v>
      </c>
      <c r="E80" s="41"/>
      <c r="F80" s="139">
        <f t="shared" si="7"/>
        <v>0</v>
      </c>
      <c r="G80" s="135">
        <v>4500</v>
      </c>
      <c r="H80" s="47"/>
      <c r="I80" s="138"/>
      <c r="J80" s="55"/>
      <c r="K80" s="53" t="s">
        <v>125</v>
      </c>
      <c r="L80" s="54" t="s">
        <v>126</v>
      </c>
      <c r="M80" s="51"/>
      <c r="N80" s="55"/>
      <c r="O80" s="54"/>
    </row>
    <row r="81" s="1" customFormat="1" ht="18" customHeight="1" spans="1:15">
      <c r="A81" s="36">
        <v>44002</v>
      </c>
      <c r="B81" s="138">
        <f t="shared" si="6"/>
        <v>876</v>
      </c>
      <c r="C81" s="38">
        <v>1</v>
      </c>
      <c r="D81" s="78" t="s">
        <v>34</v>
      </c>
      <c r="E81" s="41"/>
      <c r="F81" s="139">
        <f t="shared" si="7"/>
        <v>0</v>
      </c>
      <c r="G81" s="135">
        <v>876</v>
      </c>
      <c r="H81" s="47"/>
      <c r="I81" s="138"/>
      <c r="J81" s="55"/>
      <c r="K81" s="53" t="s">
        <v>127</v>
      </c>
      <c r="L81" s="54" t="s">
        <v>128</v>
      </c>
      <c r="M81" s="51"/>
      <c r="N81" s="55"/>
      <c r="O81" s="54"/>
    </row>
    <row r="82" s="1" customFormat="1" ht="18" customHeight="1" spans="1:15">
      <c r="A82" s="36">
        <v>44002</v>
      </c>
      <c r="B82" s="138">
        <f t="shared" si="6"/>
        <v>480</v>
      </c>
      <c r="C82" s="38">
        <v>1</v>
      </c>
      <c r="D82" s="78" t="s">
        <v>34</v>
      </c>
      <c r="E82" s="41"/>
      <c r="F82" s="139">
        <f t="shared" si="7"/>
        <v>0</v>
      </c>
      <c r="G82" s="135">
        <v>480</v>
      </c>
      <c r="H82" s="47"/>
      <c r="I82" s="138"/>
      <c r="J82" s="55"/>
      <c r="K82" s="53" t="s">
        <v>129</v>
      </c>
      <c r="L82" s="54" t="s">
        <v>130</v>
      </c>
      <c r="M82" s="51"/>
      <c r="N82" s="55"/>
      <c r="O82" s="54"/>
    </row>
    <row r="83" s="1" customFormat="1" ht="18" customHeight="1" spans="1:15">
      <c r="A83" s="36">
        <v>44002</v>
      </c>
      <c r="B83" s="138">
        <f t="shared" si="6"/>
        <v>40500</v>
      </c>
      <c r="C83" s="38">
        <v>1</v>
      </c>
      <c r="D83" s="78" t="s">
        <v>34</v>
      </c>
      <c r="E83" s="41"/>
      <c r="F83" s="139">
        <f t="shared" si="7"/>
        <v>0</v>
      </c>
      <c r="G83" s="135">
        <v>40500</v>
      </c>
      <c r="H83" s="47"/>
      <c r="I83" s="138"/>
      <c r="J83" s="55"/>
      <c r="K83" s="53" t="s">
        <v>83</v>
      </c>
      <c r="L83" s="54" t="s">
        <v>63</v>
      </c>
      <c r="M83" s="51" t="s">
        <v>131</v>
      </c>
      <c r="N83" s="55"/>
      <c r="O83" s="54"/>
    </row>
    <row r="84" s="1" customFormat="1" ht="18" customHeight="1" spans="1:15">
      <c r="A84" s="36">
        <v>44002</v>
      </c>
      <c r="B84" s="138">
        <f t="shared" si="6"/>
        <v>50000</v>
      </c>
      <c r="C84" s="38"/>
      <c r="D84" s="78" t="s">
        <v>34</v>
      </c>
      <c r="E84" s="41"/>
      <c r="F84" s="139">
        <f t="shared" si="7"/>
        <v>0</v>
      </c>
      <c r="G84" s="135">
        <v>50000</v>
      </c>
      <c r="H84" s="47"/>
      <c r="I84" s="138"/>
      <c r="J84" s="55"/>
      <c r="K84" s="100" t="s">
        <v>84</v>
      </c>
      <c r="L84" s="54"/>
      <c r="M84" s="142" t="s">
        <v>132</v>
      </c>
      <c r="N84" s="55"/>
      <c r="O84" s="54" t="s">
        <v>133</v>
      </c>
    </row>
    <row r="85" s="1" customFormat="1" ht="18" customHeight="1" spans="1:15">
      <c r="A85" s="36">
        <v>44002</v>
      </c>
      <c r="B85" s="138">
        <f t="shared" si="6"/>
        <v>16955</v>
      </c>
      <c r="C85" s="38"/>
      <c r="D85" s="78" t="s">
        <v>34</v>
      </c>
      <c r="E85" s="41"/>
      <c r="F85" s="139">
        <f t="shared" si="7"/>
        <v>0</v>
      </c>
      <c r="G85" s="135">
        <v>16955</v>
      </c>
      <c r="H85" s="47"/>
      <c r="I85" s="138"/>
      <c r="J85" s="55"/>
      <c r="K85" s="100" t="s">
        <v>118</v>
      </c>
      <c r="L85" s="54"/>
      <c r="M85" s="51" t="s">
        <v>120</v>
      </c>
      <c r="N85" s="55"/>
      <c r="O85" s="54"/>
    </row>
    <row r="86" s="1" customFormat="1" ht="18" customHeight="1" spans="1:15">
      <c r="A86" s="36">
        <v>44002</v>
      </c>
      <c r="B86" s="138">
        <f t="shared" si="6"/>
        <v>3960.4</v>
      </c>
      <c r="C86" s="38"/>
      <c r="D86" s="78" t="s">
        <v>40</v>
      </c>
      <c r="E86" s="41">
        <v>0.01</v>
      </c>
      <c r="F86" s="139">
        <f t="shared" si="7"/>
        <v>39.6</v>
      </c>
      <c r="G86" s="135">
        <v>4000</v>
      </c>
      <c r="H86" s="47"/>
      <c r="I86" s="138"/>
      <c r="J86" s="55"/>
      <c r="K86" s="100" t="s">
        <v>121</v>
      </c>
      <c r="L86" s="54"/>
      <c r="M86" s="51"/>
      <c r="N86" s="55"/>
      <c r="O86" s="54"/>
    </row>
    <row r="87" s="1" customFormat="1" ht="18" customHeight="1" spans="1:19">
      <c r="A87" s="36">
        <v>44002</v>
      </c>
      <c r="B87" s="138">
        <f t="shared" si="6"/>
        <v>1120</v>
      </c>
      <c r="C87" s="38"/>
      <c r="D87" s="78" t="s">
        <v>34</v>
      </c>
      <c r="E87" s="41"/>
      <c r="F87" s="139">
        <f t="shared" si="7"/>
        <v>0</v>
      </c>
      <c r="G87" s="135">
        <v>1120</v>
      </c>
      <c r="H87" s="47"/>
      <c r="I87" s="124"/>
      <c r="J87" s="51"/>
      <c r="K87" s="100" t="s">
        <v>118</v>
      </c>
      <c r="L87" s="54"/>
      <c r="M87" s="51" t="s">
        <v>120</v>
      </c>
      <c r="N87" s="55"/>
      <c r="O87" s="54"/>
      <c r="S87" s="1" t="s">
        <v>116</v>
      </c>
    </row>
    <row r="88" s="1" customFormat="1" ht="18" customHeight="1" spans="1:15">
      <c r="A88" s="36">
        <v>44063</v>
      </c>
      <c r="B88" s="138">
        <f t="shared" si="6"/>
        <v>595</v>
      </c>
      <c r="C88" s="38"/>
      <c r="D88" s="78" t="s">
        <v>34</v>
      </c>
      <c r="E88" s="41"/>
      <c r="F88" s="139">
        <f t="shared" si="7"/>
        <v>0</v>
      </c>
      <c r="G88" s="135">
        <v>595</v>
      </c>
      <c r="H88" s="47"/>
      <c r="I88" s="124"/>
      <c r="J88" s="51"/>
      <c r="K88" s="53" t="s">
        <v>72</v>
      </c>
      <c r="L88" s="53" t="s">
        <v>134</v>
      </c>
      <c r="M88" s="51"/>
      <c r="N88" s="55"/>
      <c r="O88" s="54"/>
    </row>
    <row r="89" s="1" customFormat="1" ht="18" customHeight="1" spans="1:15">
      <c r="A89" s="36">
        <v>44063</v>
      </c>
      <c r="B89" s="138">
        <f t="shared" si="6"/>
        <v>23440</v>
      </c>
      <c r="C89" s="38"/>
      <c r="D89" s="78" t="s">
        <v>34</v>
      </c>
      <c r="E89" s="41"/>
      <c r="F89" s="139">
        <f t="shared" si="7"/>
        <v>0</v>
      </c>
      <c r="G89" s="135">
        <v>23440</v>
      </c>
      <c r="H89" s="47"/>
      <c r="I89" s="124"/>
      <c r="J89" s="51"/>
      <c r="K89" s="53" t="s">
        <v>118</v>
      </c>
      <c r="L89" s="53" t="s">
        <v>55</v>
      </c>
      <c r="M89" s="51" t="s">
        <v>120</v>
      </c>
      <c r="N89" s="55"/>
      <c r="O89" s="54"/>
    </row>
    <row r="90" s="1" customFormat="1" ht="18" customHeight="1" spans="1:15">
      <c r="A90" s="36">
        <v>44063</v>
      </c>
      <c r="B90" s="138">
        <f t="shared" si="6"/>
        <v>560</v>
      </c>
      <c r="C90" s="38"/>
      <c r="D90" s="78" t="s">
        <v>34</v>
      </c>
      <c r="E90" s="41"/>
      <c r="F90" s="139">
        <f t="shared" si="7"/>
        <v>0</v>
      </c>
      <c r="G90" s="135">
        <v>560</v>
      </c>
      <c r="H90" s="47"/>
      <c r="I90" s="124"/>
      <c r="J90" s="51"/>
      <c r="K90" s="53" t="s">
        <v>72</v>
      </c>
      <c r="L90" s="58" t="s">
        <v>134</v>
      </c>
      <c r="M90" s="51"/>
      <c r="N90" s="55"/>
      <c r="O90" s="54"/>
    </row>
    <row r="91" s="1" customFormat="1" ht="18" customHeight="1" spans="1:15">
      <c r="A91" s="80">
        <v>44094</v>
      </c>
      <c r="B91" s="138">
        <f t="shared" si="6"/>
        <v>380</v>
      </c>
      <c r="C91" s="81">
        <v>1</v>
      </c>
      <c r="D91" s="78" t="s">
        <v>34</v>
      </c>
      <c r="E91" s="41"/>
      <c r="F91" s="139">
        <f t="shared" si="7"/>
        <v>0</v>
      </c>
      <c r="G91" s="145">
        <v>380</v>
      </c>
      <c r="H91" s="47"/>
      <c r="I91" s="124"/>
      <c r="J91" s="51"/>
      <c r="K91" s="53" t="s">
        <v>72</v>
      </c>
      <c r="L91" s="58" t="s">
        <v>134</v>
      </c>
      <c r="M91" s="51" t="s">
        <v>135</v>
      </c>
      <c r="N91" s="55"/>
      <c r="O91" s="54"/>
    </row>
    <row r="92" s="1" customFormat="1" ht="18" customHeight="1" spans="1:15">
      <c r="A92" s="80">
        <v>44094</v>
      </c>
      <c r="B92" s="138">
        <f t="shared" si="6"/>
        <v>370</v>
      </c>
      <c r="C92" s="81"/>
      <c r="D92" s="78" t="s">
        <v>34</v>
      </c>
      <c r="E92" s="41"/>
      <c r="F92" s="139">
        <f t="shared" si="7"/>
        <v>0</v>
      </c>
      <c r="G92" s="145">
        <v>370</v>
      </c>
      <c r="H92" s="47"/>
      <c r="I92" s="124"/>
      <c r="J92" s="51"/>
      <c r="K92" s="53" t="s">
        <v>72</v>
      </c>
      <c r="L92" s="58" t="s">
        <v>134</v>
      </c>
      <c r="M92" s="51" t="s">
        <v>136</v>
      </c>
      <c r="N92" s="55"/>
      <c r="O92" s="54"/>
    </row>
    <row r="93" s="1" customFormat="1" ht="18" customHeight="1" spans="1:15">
      <c r="A93" s="80">
        <v>44094</v>
      </c>
      <c r="B93" s="138">
        <f t="shared" si="6"/>
        <v>37640</v>
      </c>
      <c r="C93" s="81">
        <v>8</v>
      </c>
      <c r="D93" s="78" t="s">
        <v>34</v>
      </c>
      <c r="E93" s="41"/>
      <c r="F93" s="139">
        <f t="shared" si="7"/>
        <v>0</v>
      </c>
      <c r="G93" s="145">
        <v>37640</v>
      </c>
      <c r="H93" s="47"/>
      <c r="I93" s="124"/>
      <c r="J93" s="51"/>
      <c r="K93" s="100" t="s">
        <v>118</v>
      </c>
      <c r="L93" s="54"/>
      <c r="M93" s="51" t="s">
        <v>120</v>
      </c>
      <c r="N93" s="55"/>
      <c r="O93" s="54"/>
    </row>
    <row r="94" s="1" customFormat="1" ht="18" customHeight="1" spans="1:15">
      <c r="A94" s="80">
        <v>44094</v>
      </c>
      <c r="B94" s="138">
        <f t="shared" si="6"/>
        <v>200</v>
      </c>
      <c r="C94" s="81"/>
      <c r="D94" s="78" t="s">
        <v>34</v>
      </c>
      <c r="E94" s="41"/>
      <c r="F94" s="139">
        <f t="shared" si="7"/>
        <v>0</v>
      </c>
      <c r="G94" s="145">
        <v>200</v>
      </c>
      <c r="H94" s="47"/>
      <c r="I94" s="124"/>
      <c r="J94" s="51"/>
      <c r="K94" s="53" t="s">
        <v>72</v>
      </c>
      <c r="L94" s="58" t="s">
        <v>134</v>
      </c>
      <c r="M94" s="51" t="s">
        <v>137</v>
      </c>
      <c r="N94" s="55"/>
      <c r="O94" s="54"/>
    </row>
    <row r="95" s="1" customFormat="1" ht="18" customHeight="1" spans="1:15">
      <c r="A95" s="80">
        <v>44094</v>
      </c>
      <c r="B95" s="138">
        <f t="shared" si="6"/>
        <v>88495.58</v>
      </c>
      <c r="C95" s="81">
        <v>1</v>
      </c>
      <c r="D95" s="78" t="s">
        <v>40</v>
      </c>
      <c r="E95" s="41">
        <v>0.13</v>
      </c>
      <c r="F95" s="139">
        <f t="shared" si="7"/>
        <v>11504.42</v>
      </c>
      <c r="G95" s="145">
        <v>100000</v>
      </c>
      <c r="H95" s="82"/>
      <c r="I95" s="138"/>
      <c r="J95" s="55"/>
      <c r="K95" s="100" t="s">
        <v>138</v>
      </c>
      <c r="L95" s="54" t="s">
        <v>89</v>
      </c>
      <c r="M95" s="51" t="s">
        <v>139</v>
      </c>
      <c r="N95" s="55"/>
      <c r="O95" s="54"/>
    </row>
    <row r="96" s="1" customFormat="1" ht="18" customHeight="1" spans="1:15">
      <c r="A96" s="80">
        <v>44094</v>
      </c>
      <c r="B96" s="138">
        <f t="shared" si="6"/>
        <v>47530</v>
      </c>
      <c r="C96" s="81">
        <v>10</v>
      </c>
      <c r="D96" s="78" t="s">
        <v>34</v>
      </c>
      <c r="E96" s="41"/>
      <c r="F96" s="139">
        <f t="shared" si="7"/>
        <v>0</v>
      </c>
      <c r="G96" s="145">
        <f>5000+5000+5000+5000+5000+5000+5000+5000+2530+5000</f>
        <v>47530</v>
      </c>
      <c r="H96" s="47"/>
      <c r="I96" s="124"/>
      <c r="J96" s="51"/>
      <c r="K96" s="100" t="s">
        <v>140</v>
      </c>
      <c r="L96" s="54" t="s">
        <v>55</v>
      </c>
      <c r="M96" s="51"/>
      <c r="N96" s="55"/>
      <c r="O96" s="54" t="s">
        <v>98</v>
      </c>
    </row>
    <row r="97" s="1" customFormat="1" ht="18" customHeight="1" spans="1:15">
      <c r="A97" s="80">
        <v>44124</v>
      </c>
      <c r="B97" s="138">
        <f t="shared" si="6"/>
        <v>150000</v>
      </c>
      <c r="C97" s="81"/>
      <c r="D97" s="78" t="s">
        <v>34</v>
      </c>
      <c r="E97" s="41"/>
      <c r="F97" s="139">
        <f t="shared" si="7"/>
        <v>0</v>
      </c>
      <c r="G97" s="145">
        <f>50000+100000</f>
        <v>150000</v>
      </c>
      <c r="H97" s="47"/>
      <c r="I97" s="124"/>
      <c r="J97" s="51"/>
      <c r="K97" s="53" t="s">
        <v>84</v>
      </c>
      <c r="L97" s="58" t="s">
        <v>63</v>
      </c>
      <c r="M97" s="142" t="s">
        <v>132</v>
      </c>
      <c r="N97" s="55"/>
      <c r="O97" s="54" t="s">
        <v>133</v>
      </c>
    </row>
    <row r="98" s="1" customFormat="1" ht="18" customHeight="1" spans="1:15">
      <c r="A98" s="80">
        <v>44124</v>
      </c>
      <c r="B98" s="138">
        <f t="shared" si="6"/>
        <v>198019.8</v>
      </c>
      <c r="C98" s="81">
        <v>1</v>
      </c>
      <c r="D98" s="78" t="s">
        <v>40</v>
      </c>
      <c r="E98" s="41">
        <v>0.01</v>
      </c>
      <c r="F98" s="139">
        <f t="shared" si="7"/>
        <v>1980.2</v>
      </c>
      <c r="G98" s="145">
        <v>200000</v>
      </c>
      <c r="H98" s="47"/>
      <c r="I98" s="124"/>
      <c r="J98" s="51"/>
      <c r="K98" s="53" t="s">
        <v>65</v>
      </c>
      <c r="L98" s="58" t="s">
        <v>66</v>
      </c>
      <c r="M98" s="142" t="s">
        <v>81</v>
      </c>
      <c r="N98" s="55"/>
      <c r="O98" s="54" t="s">
        <v>82</v>
      </c>
    </row>
    <row r="99" s="1" customFormat="1" ht="18" customHeight="1" spans="1:15">
      <c r="A99" s="80">
        <v>44124</v>
      </c>
      <c r="B99" s="138">
        <f t="shared" si="6"/>
        <v>178600</v>
      </c>
      <c r="C99" s="81"/>
      <c r="D99" s="78"/>
      <c r="E99" s="41"/>
      <c r="F99" s="139">
        <f t="shared" si="7"/>
        <v>0</v>
      </c>
      <c r="G99" s="145">
        <f>100000+78600</f>
        <v>178600</v>
      </c>
      <c r="H99" s="47"/>
      <c r="I99" s="124"/>
      <c r="J99" s="51"/>
      <c r="K99" s="53" t="s">
        <v>85</v>
      </c>
      <c r="L99" s="58" t="s">
        <v>99</v>
      </c>
      <c r="M99" s="51"/>
      <c r="N99" s="55"/>
      <c r="O99" s="54"/>
    </row>
    <row r="100" s="1" customFormat="1" ht="18" customHeight="1" spans="1:15">
      <c r="A100" s="80">
        <v>44124</v>
      </c>
      <c r="B100" s="138">
        <f t="shared" si="6"/>
        <v>32000</v>
      </c>
      <c r="C100" s="81"/>
      <c r="D100" s="78"/>
      <c r="E100" s="41"/>
      <c r="F100" s="139">
        <f t="shared" si="7"/>
        <v>0</v>
      </c>
      <c r="G100" s="145">
        <v>32000</v>
      </c>
      <c r="H100" s="47"/>
      <c r="I100" s="124"/>
      <c r="J100" s="51"/>
      <c r="K100" s="53" t="s">
        <v>141</v>
      </c>
      <c r="L100" s="58" t="s">
        <v>142</v>
      </c>
      <c r="M100" s="51"/>
      <c r="N100" s="55"/>
      <c r="O100" s="54"/>
    </row>
    <row r="101" s="1" customFormat="1" ht="18" customHeight="1" spans="1:15">
      <c r="A101" s="80">
        <v>44124</v>
      </c>
      <c r="B101" s="138">
        <f t="shared" si="6"/>
        <v>100000</v>
      </c>
      <c r="C101" s="81"/>
      <c r="D101" s="78"/>
      <c r="E101" s="41"/>
      <c r="F101" s="139">
        <f t="shared" si="7"/>
        <v>0</v>
      </c>
      <c r="G101" s="145">
        <v>100000</v>
      </c>
      <c r="H101" s="47"/>
      <c r="I101" s="124"/>
      <c r="J101" s="51"/>
      <c r="K101" s="53" t="s">
        <v>64</v>
      </c>
      <c r="L101" s="58" t="s">
        <v>142</v>
      </c>
      <c r="M101" s="51"/>
      <c r="N101" s="55"/>
      <c r="O101" s="54"/>
    </row>
    <row r="102" s="1" customFormat="1" ht="18" customHeight="1" spans="1:15">
      <c r="A102" s="36">
        <v>44166</v>
      </c>
      <c r="B102" s="138">
        <f t="shared" si="6"/>
        <v>78761.06</v>
      </c>
      <c r="C102" s="38">
        <v>1</v>
      </c>
      <c r="D102" s="39" t="s">
        <v>40</v>
      </c>
      <c r="E102" s="41">
        <v>0.13</v>
      </c>
      <c r="F102" s="138">
        <f t="shared" si="7"/>
        <v>10238.94</v>
      </c>
      <c r="G102" s="135">
        <v>89000</v>
      </c>
      <c r="H102" s="83"/>
      <c r="I102" s="138"/>
      <c r="J102" s="55"/>
      <c r="K102" s="53" t="s">
        <v>143</v>
      </c>
      <c r="L102" s="54" t="s">
        <v>144</v>
      </c>
      <c r="M102" s="142" t="s">
        <v>145</v>
      </c>
      <c r="N102" s="55"/>
      <c r="O102" s="54"/>
    </row>
    <row r="103" s="1" customFormat="1" ht="18" customHeight="1" spans="1:15">
      <c r="A103" s="36">
        <v>44166</v>
      </c>
      <c r="B103" s="138">
        <f t="shared" si="6"/>
        <v>66371.68</v>
      </c>
      <c r="C103" s="38">
        <v>1</v>
      </c>
      <c r="D103" s="39" t="s">
        <v>40</v>
      </c>
      <c r="E103" s="41">
        <v>0.13</v>
      </c>
      <c r="F103" s="138">
        <f t="shared" si="7"/>
        <v>8628.32</v>
      </c>
      <c r="G103" s="135">
        <v>75000</v>
      </c>
      <c r="H103" s="83"/>
      <c r="I103" s="138"/>
      <c r="J103" s="55"/>
      <c r="K103" s="53" t="s">
        <v>143</v>
      </c>
      <c r="L103" s="54" t="s">
        <v>146</v>
      </c>
      <c r="M103" s="142" t="s">
        <v>145</v>
      </c>
      <c r="N103" s="55"/>
      <c r="O103" s="54"/>
    </row>
    <row r="104" s="1" customFormat="1" ht="18" customHeight="1" spans="1:15">
      <c r="A104" s="36">
        <v>44166</v>
      </c>
      <c r="B104" s="138">
        <f t="shared" si="6"/>
        <v>3359805.31</v>
      </c>
      <c r="C104" s="38">
        <v>38</v>
      </c>
      <c r="D104" s="39" t="s">
        <v>40</v>
      </c>
      <c r="E104" s="41">
        <v>0.13</v>
      </c>
      <c r="F104" s="138">
        <f t="shared" si="7"/>
        <v>436774.69</v>
      </c>
      <c r="G104" s="135">
        <f>99910*38</f>
        <v>3796580</v>
      </c>
      <c r="H104" s="83"/>
      <c r="I104" s="138"/>
      <c r="J104" s="55"/>
      <c r="K104" s="53" t="s">
        <v>143</v>
      </c>
      <c r="L104" s="54" t="s">
        <v>144</v>
      </c>
      <c r="M104" s="142" t="s">
        <v>145</v>
      </c>
      <c r="N104" s="55"/>
      <c r="O104" s="54"/>
    </row>
    <row r="105" s="1" customFormat="1" ht="18" customHeight="1" spans="1:15">
      <c r="A105" s="36">
        <v>44166</v>
      </c>
      <c r="B105" s="138">
        <f t="shared" si="6"/>
        <v>73823.01</v>
      </c>
      <c r="C105" s="38">
        <v>1</v>
      </c>
      <c r="D105" s="39" t="s">
        <v>40</v>
      </c>
      <c r="E105" s="41">
        <v>0.13</v>
      </c>
      <c r="F105" s="138">
        <f t="shared" si="7"/>
        <v>9596.99</v>
      </c>
      <c r="G105" s="135">
        <v>83420</v>
      </c>
      <c r="H105" s="83"/>
      <c r="I105" s="138"/>
      <c r="J105" s="55"/>
      <c r="K105" s="53" t="s">
        <v>143</v>
      </c>
      <c r="L105" s="54" t="s">
        <v>144</v>
      </c>
      <c r="M105" s="142" t="s">
        <v>145</v>
      </c>
      <c r="N105" s="55"/>
      <c r="O105" s="54"/>
    </row>
    <row r="106" s="1" customFormat="1" ht="18" customHeight="1" spans="1:15">
      <c r="A106" s="36">
        <v>44166</v>
      </c>
      <c r="B106" s="138">
        <f t="shared" si="6"/>
        <v>1680870.48</v>
      </c>
      <c r="C106" s="38">
        <v>19</v>
      </c>
      <c r="D106" s="39" t="s">
        <v>40</v>
      </c>
      <c r="E106" s="41">
        <v>0.13</v>
      </c>
      <c r="F106" s="138">
        <f t="shared" si="7"/>
        <v>218513.16</v>
      </c>
      <c r="G106" s="135">
        <f>99967.56*19</f>
        <v>1899383.64</v>
      </c>
      <c r="H106" s="83"/>
      <c r="I106" s="138"/>
      <c r="J106" s="55"/>
      <c r="K106" s="53" t="s">
        <v>143</v>
      </c>
      <c r="L106" s="54" t="s">
        <v>147</v>
      </c>
      <c r="M106" s="142" t="s">
        <v>145</v>
      </c>
      <c r="N106" s="55"/>
      <c r="O106" s="54"/>
    </row>
    <row r="107" s="1" customFormat="1" ht="18" customHeight="1" spans="1:15">
      <c r="A107" s="36">
        <v>44166</v>
      </c>
      <c r="B107" s="138">
        <f t="shared" si="6"/>
        <v>9041.03</v>
      </c>
      <c r="C107" s="38">
        <v>1</v>
      </c>
      <c r="D107" s="39" t="s">
        <v>40</v>
      </c>
      <c r="E107" s="41">
        <v>0.13</v>
      </c>
      <c r="F107" s="138">
        <f t="shared" si="7"/>
        <v>1175.33</v>
      </c>
      <c r="G107" s="135">
        <v>10216.36</v>
      </c>
      <c r="H107" s="83"/>
      <c r="I107" s="138"/>
      <c r="J107" s="55"/>
      <c r="K107" s="53" t="s">
        <v>143</v>
      </c>
      <c r="L107" s="54" t="s">
        <v>147</v>
      </c>
      <c r="M107" s="142" t="s">
        <v>145</v>
      </c>
      <c r="N107" s="55"/>
      <c r="O107" s="54"/>
    </row>
    <row r="108" s="1" customFormat="1" ht="18" customHeight="1" spans="1:15">
      <c r="A108" s="147">
        <v>44166</v>
      </c>
      <c r="B108" s="148">
        <f t="shared" si="6"/>
        <v>36148.81</v>
      </c>
      <c r="C108" s="149">
        <v>1</v>
      </c>
      <c r="D108" s="150" t="s">
        <v>40</v>
      </c>
      <c r="E108" s="151">
        <v>0.09</v>
      </c>
      <c r="F108" s="148">
        <f t="shared" si="7"/>
        <v>3253.39</v>
      </c>
      <c r="G108" s="148">
        <v>39402.2</v>
      </c>
      <c r="H108" s="152"/>
      <c r="I108" s="153"/>
      <c r="J108" s="157"/>
      <c r="K108" s="158" t="s">
        <v>148</v>
      </c>
      <c r="L108" s="102" t="s">
        <v>149</v>
      </c>
      <c r="M108" s="159" t="s">
        <v>150</v>
      </c>
      <c r="N108" s="55"/>
      <c r="O108" s="102" t="s">
        <v>151</v>
      </c>
    </row>
    <row r="109" s="1" customFormat="1" ht="18" customHeight="1" spans="1:15">
      <c r="A109" s="147">
        <v>44166</v>
      </c>
      <c r="B109" s="153">
        <f t="shared" si="6"/>
        <v>183484.22</v>
      </c>
      <c r="C109" s="149">
        <v>2</v>
      </c>
      <c r="D109" s="150" t="s">
        <v>40</v>
      </c>
      <c r="E109" s="151">
        <v>0.09</v>
      </c>
      <c r="F109" s="153">
        <f t="shared" si="7"/>
        <v>16513.58</v>
      </c>
      <c r="G109" s="148">
        <v>199997.8</v>
      </c>
      <c r="H109" s="152"/>
      <c r="I109" s="153"/>
      <c r="J109" s="157"/>
      <c r="K109" s="158" t="s">
        <v>148</v>
      </c>
      <c r="L109" s="102" t="s">
        <v>149</v>
      </c>
      <c r="M109" s="159"/>
      <c r="N109" s="55"/>
      <c r="O109" s="102"/>
    </row>
    <row r="110" s="1" customFormat="1" ht="18" customHeight="1" spans="1:15">
      <c r="A110" s="147">
        <v>44166</v>
      </c>
      <c r="B110" s="153">
        <f t="shared" si="6"/>
        <v>1559477.06</v>
      </c>
      <c r="C110" s="149">
        <v>17</v>
      </c>
      <c r="D110" s="150" t="s">
        <v>40</v>
      </c>
      <c r="E110" s="151">
        <v>0.09</v>
      </c>
      <c r="F110" s="148">
        <f t="shared" si="7"/>
        <v>140352.94</v>
      </c>
      <c r="G110" s="148">
        <v>1699830</v>
      </c>
      <c r="H110" s="152"/>
      <c r="I110" s="153"/>
      <c r="J110" s="157"/>
      <c r="K110" s="158" t="s">
        <v>148</v>
      </c>
      <c r="L110" s="102" t="s">
        <v>149</v>
      </c>
      <c r="M110" s="159"/>
      <c r="N110" s="55"/>
      <c r="O110" s="102"/>
    </row>
    <row r="111" s="1" customFormat="1" ht="18" customHeight="1" spans="1:15">
      <c r="A111" s="147">
        <v>44166</v>
      </c>
      <c r="B111" s="148">
        <f t="shared" si="6"/>
        <v>45941.28</v>
      </c>
      <c r="C111" s="149">
        <v>1</v>
      </c>
      <c r="D111" s="150" t="s">
        <v>40</v>
      </c>
      <c r="E111" s="151">
        <v>0.09</v>
      </c>
      <c r="F111" s="153">
        <f t="shared" si="7"/>
        <v>4134.72</v>
      </c>
      <c r="G111" s="148">
        <v>50076</v>
      </c>
      <c r="H111" s="152"/>
      <c r="I111" s="153"/>
      <c r="J111" s="157"/>
      <c r="K111" s="158" t="s">
        <v>148</v>
      </c>
      <c r="L111" s="102" t="s">
        <v>149</v>
      </c>
      <c r="M111" s="159"/>
      <c r="N111" s="55"/>
      <c r="O111" s="102"/>
    </row>
    <row r="112" s="1" customFormat="1" ht="18" customHeight="1" spans="1:15">
      <c r="A112" s="147">
        <v>44166</v>
      </c>
      <c r="B112" s="153">
        <f t="shared" si="6"/>
        <v>45957.8</v>
      </c>
      <c r="C112" s="149">
        <v>1</v>
      </c>
      <c r="D112" s="150" t="s">
        <v>40</v>
      </c>
      <c r="E112" s="151">
        <v>0.09</v>
      </c>
      <c r="F112" s="148">
        <f t="shared" ref="F112:F148" si="8">ROUND(G112/(1+E112)*E112,2)</f>
        <v>4136.2</v>
      </c>
      <c r="G112" s="148">
        <v>50094</v>
      </c>
      <c r="H112" s="152"/>
      <c r="I112" s="153"/>
      <c r="J112" s="157"/>
      <c r="K112" s="158" t="s">
        <v>148</v>
      </c>
      <c r="L112" s="102" t="s">
        <v>152</v>
      </c>
      <c r="M112" s="159" t="s">
        <v>150</v>
      </c>
      <c r="N112" s="55"/>
      <c r="O112" s="102" t="s">
        <v>151</v>
      </c>
    </row>
    <row r="113" s="1" customFormat="1" ht="18" customHeight="1" spans="1:15">
      <c r="A113" s="36">
        <v>44166</v>
      </c>
      <c r="B113" s="138">
        <f t="shared" ref="B112:B148" si="9">ROUND(G113/(1+E113),2)</f>
        <v>2280</v>
      </c>
      <c r="C113" s="38">
        <v>2</v>
      </c>
      <c r="D113" s="39" t="s">
        <v>34</v>
      </c>
      <c r="E113" s="41"/>
      <c r="F113" s="139">
        <f t="shared" si="8"/>
        <v>0</v>
      </c>
      <c r="G113" s="135">
        <f>680+1600</f>
        <v>2280</v>
      </c>
      <c r="H113" s="24"/>
      <c r="I113" s="124"/>
      <c r="J113" s="51"/>
      <c r="K113" s="53" t="s">
        <v>153</v>
      </c>
      <c r="L113" s="54" t="s">
        <v>154</v>
      </c>
      <c r="M113" s="142"/>
      <c r="N113" s="55"/>
      <c r="O113" s="102"/>
    </row>
    <row r="114" s="1" customFormat="1" ht="18" customHeight="1" spans="1:15">
      <c r="A114" s="36">
        <v>44166</v>
      </c>
      <c r="B114" s="138">
        <f t="shared" si="9"/>
        <v>380</v>
      </c>
      <c r="C114" s="38">
        <v>1</v>
      </c>
      <c r="D114" s="39" t="s">
        <v>34</v>
      </c>
      <c r="E114" s="41"/>
      <c r="F114" s="139">
        <f t="shared" si="8"/>
        <v>0</v>
      </c>
      <c r="G114" s="135">
        <v>380</v>
      </c>
      <c r="H114" s="24"/>
      <c r="I114" s="124"/>
      <c r="J114" s="51"/>
      <c r="K114" s="53" t="s">
        <v>153</v>
      </c>
      <c r="L114" s="54" t="s">
        <v>155</v>
      </c>
      <c r="M114" s="142"/>
      <c r="N114" s="55"/>
      <c r="O114" s="54"/>
    </row>
    <row r="115" s="1" customFormat="1" ht="18" customHeight="1" spans="1:15">
      <c r="A115" s="36">
        <v>44166</v>
      </c>
      <c r="B115" s="138">
        <f t="shared" si="9"/>
        <v>159</v>
      </c>
      <c r="C115" s="38">
        <v>1</v>
      </c>
      <c r="D115" s="39" t="s">
        <v>34</v>
      </c>
      <c r="E115" s="41"/>
      <c r="F115" s="139">
        <f t="shared" si="8"/>
        <v>0</v>
      </c>
      <c r="G115" s="135">
        <v>159</v>
      </c>
      <c r="H115" s="24"/>
      <c r="I115" s="124"/>
      <c r="J115" s="51"/>
      <c r="K115" s="53" t="s">
        <v>153</v>
      </c>
      <c r="L115" s="54" t="s">
        <v>156</v>
      </c>
      <c r="M115" s="142"/>
      <c r="N115" s="55"/>
      <c r="O115" s="54"/>
    </row>
    <row r="116" s="1" customFormat="1" ht="18" customHeight="1" spans="1:15">
      <c r="A116" s="36">
        <v>44166</v>
      </c>
      <c r="B116" s="138">
        <f t="shared" si="9"/>
        <v>200</v>
      </c>
      <c r="C116" s="38">
        <v>1</v>
      </c>
      <c r="D116" s="46" t="s">
        <v>157</v>
      </c>
      <c r="E116" s="41"/>
      <c r="F116" s="139">
        <f t="shared" si="8"/>
        <v>0</v>
      </c>
      <c r="G116" s="135">
        <v>200</v>
      </c>
      <c r="H116" s="24"/>
      <c r="I116" s="124"/>
      <c r="J116" s="51"/>
      <c r="K116" s="53" t="s">
        <v>153</v>
      </c>
      <c r="L116" s="54" t="s">
        <v>158</v>
      </c>
      <c r="M116" s="142"/>
      <c r="N116" s="55"/>
      <c r="O116" s="54"/>
    </row>
    <row r="117" s="1" customFormat="1" ht="18" customHeight="1" spans="1:15">
      <c r="A117" s="36">
        <v>44166</v>
      </c>
      <c r="B117" s="138">
        <f t="shared" si="9"/>
        <v>200</v>
      </c>
      <c r="C117" s="38">
        <v>1</v>
      </c>
      <c r="D117" s="46" t="s">
        <v>157</v>
      </c>
      <c r="E117" s="41"/>
      <c r="F117" s="139">
        <f t="shared" si="8"/>
        <v>0</v>
      </c>
      <c r="G117" s="145">
        <v>200</v>
      </c>
      <c r="H117" s="24"/>
      <c r="I117" s="124"/>
      <c r="J117" s="51"/>
      <c r="K117" s="53" t="s">
        <v>153</v>
      </c>
      <c r="L117" s="54" t="s">
        <v>158</v>
      </c>
      <c r="M117" s="142"/>
      <c r="N117" s="55"/>
      <c r="O117" s="102" t="s">
        <v>159</v>
      </c>
    </row>
    <row r="118" s="1" customFormat="1" ht="18" customHeight="1" spans="1:15">
      <c r="A118" s="36">
        <v>44166</v>
      </c>
      <c r="B118" s="138">
        <f t="shared" si="9"/>
        <v>221023.01</v>
      </c>
      <c r="C118" s="81">
        <v>3</v>
      </c>
      <c r="D118" s="39" t="s">
        <v>40</v>
      </c>
      <c r="E118" s="41">
        <v>0.13</v>
      </c>
      <c r="F118" s="139">
        <f t="shared" si="8"/>
        <v>28732.99</v>
      </c>
      <c r="G118" s="145">
        <f>100000*2+49756</f>
        <v>249756</v>
      </c>
      <c r="H118" s="24"/>
      <c r="I118" s="124"/>
      <c r="J118" s="51"/>
      <c r="K118" s="53" t="s">
        <v>160</v>
      </c>
      <c r="L118" s="54" t="s">
        <v>161</v>
      </c>
      <c r="M118" s="142"/>
      <c r="N118" s="55"/>
      <c r="O118" s="102"/>
    </row>
    <row r="119" s="1" customFormat="1" ht="18" customHeight="1" spans="1:15">
      <c r="A119" s="36">
        <v>44166</v>
      </c>
      <c r="B119" s="138">
        <f t="shared" si="9"/>
        <v>1037</v>
      </c>
      <c r="C119" s="38">
        <v>1</v>
      </c>
      <c r="D119" s="39" t="s">
        <v>34</v>
      </c>
      <c r="E119" s="41"/>
      <c r="F119" s="139">
        <f t="shared" si="8"/>
        <v>0</v>
      </c>
      <c r="G119" s="145">
        <v>1037</v>
      </c>
      <c r="H119" s="83"/>
      <c r="I119" s="138"/>
      <c r="J119" s="55"/>
      <c r="K119" s="53" t="s">
        <v>153</v>
      </c>
      <c r="L119" s="54" t="s">
        <v>162</v>
      </c>
      <c r="M119" s="142"/>
      <c r="N119" s="55"/>
      <c r="O119" s="102" t="s">
        <v>19</v>
      </c>
    </row>
    <row r="120" s="1" customFormat="1" ht="18" customHeight="1" spans="1:15">
      <c r="A120" s="36">
        <v>44166</v>
      </c>
      <c r="B120" s="138">
        <f t="shared" si="9"/>
        <v>101350</v>
      </c>
      <c r="C120" s="81">
        <v>20</v>
      </c>
      <c r="D120" s="39" t="s">
        <v>34</v>
      </c>
      <c r="E120" s="41"/>
      <c r="F120" s="139">
        <f t="shared" si="8"/>
        <v>0</v>
      </c>
      <c r="G120" s="145">
        <f>5000*19+6350</f>
        <v>101350</v>
      </c>
      <c r="H120" s="83">
        <v>44181</v>
      </c>
      <c r="I120" s="138">
        <v>103150</v>
      </c>
      <c r="J120" s="55" t="s">
        <v>68</v>
      </c>
      <c r="K120" s="53" t="s">
        <v>118</v>
      </c>
      <c r="L120" s="54" t="s">
        <v>163</v>
      </c>
      <c r="M120" s="142" t="s">
        <v>164</v>
      </c>
      <c r="N120" s="55"/>
      <c r="O120" s="54"/>
    </row>
    <row r="121" s="1" customFormat="1" ht="18" customHeight="1" spans="1:15">
      <c r="A121" s="36">
        <v>44166</v>
      </c>
      <c r="B121" s="138">
        <f t="shared" si="9"/>
        <v>442478.67</v>
      </c>
      <c r="C121" s="81">
        <v>5</v>
      </c>
      <c r="D121" s="89" t="s">
        <v>40</v>
      </c>
      <c r="E121" s="41">
        <v>0.13</v>
      </c>
      <c r="F121" s="139">
        <f t="shared" si="8"/>
        <v>57522.23</v>
      </c>
      <c r="G121" s="145">
        <f>100000.18*5</f>
        <v>500000.9</v>
      </c>
      <c r="H121" s="83">
        <v>44180</v>
      </c>
      <c r="I121" s="138">
        <v>500000</v>
      </c>
      <c r="J121" s="55" t="s">
        <v>68</v>
      </c>
      <c r="K121" s="53" t="s">
        <v>138</v>
      </c>
      <c r="L121" s="54" t="s">
        <v>89</v>
      </c>
      <c r="M121" s="142" t="s">
        <v>165</v>
      </c>
      <c r="N121" s="55"/>
      <c r="O121" s="54"/>
    </row>
    <row r="122" s="1" customFormat="1" ht="18" customHeight="1" spans="1:15">
      <c r="A122" s="36">
        <v>44166</v>
      </c>
      <c r="B122" s="138">
        <f t="shared" si="9"/>
        <v>442483.01</v>
      </c>
      <c r="C122" s="81">
        <v>5</v>
      </c>
      <c r="D122" s="89" t="s">
        <v>40</v>
      </c>
      <c r="E122" s="41">
        <v>0.13</v>
      </c>
      <c r="F122" s="139">
        <f t="shared" si="8"/>
        <v>57522.79</v>
      </c>
      <c r="G122" s="145">
        <f>100001.16*5</f>
        <v>500005.8</v>
      </c>
      <c r="H122" s="83"/>
      <c r="I122" s="138"/>
      <c r="J122" s="55"/>
      <c r="K122" s="53" t="s">
        <v>138</v>
      </c>
      <c r="L122" s="54" t="s">
        <v>89</v>
      </c>
      <c r="M122" s="142" t="s">
        <v>165</v>
      </c>
      <c r="N122" s="55"/>
      <c r="O122" s="54"/>
    </row>
    <row r="123" s="1" customFormat="1" ht="18" customHeight="1" spans="1:15">
      <c r="A123" s="80">
        <v>44166</v>
      </c>
      <c r="B123" s="138">
        <f t="shared" si="9"/>
        <v>140000</v>
      </c>
      <c r="C123" s="81">
        <v>2</v>
      </c>
      <c r="D123" s="78" t="s">
        <v>34</v>
      </c>
      <c r="E123" s="41"/>
      <c r="F123" s="139">
        <f t="shared" si="8"/>
        <v>0</v>
      </c>
      <c r="G123" s="145">
        <f>40000+100000</f>
        <v>140000</v>
      </c>
      <c r="H123" s="83"/>
      <c r="I123" s="138"/>
      <c r="J123" s="55"/>
      <c r="K123" s="53" t="s">
        <v>84</v>
      </c>
      <c r="L123" s="58" t="s">
        <v>63</v>
      </c>
      <c r="M123" s="142" t="s">
        <v>104</v>
      </c>
      <c r="N123" s="55"/>
      <c r="O123" s="102"/>
    </row>
    <row r="124" s="1" customFormat="1" ht="18" customHeight="1" spans="1:15">
      <c r="A124" s="36">
        <v>44166</v>
      </c>
      <c r="B124" s="138">
        <f t="shared" si="9"/>
        <v>410</v>
      </c>
      <c r="C124" s="81">
        <v>2</v>
      </c>
      <c r="D124" s="89" t="s">
        <v>35</v>
      </c>
      <c r="E124" s="41"/>
      <c r="F124" s="139">
        <f t="shared" si="8"/>
        <v>0</v>
      </c>
      <c r="G124" s="145">
        <v>410</v>
      </c>
      <c r="H124" s="83"/>
      <c r="I124" s="138"/>
      <c r="J124" s="55"/>
      <c r="K124" s="53" t="s">
        <v>153</v>
      </c>
      <c r="L124" s="54" t="s">
        <v>166</v>
      </c>
      <c r="M124" s="142"/>
      <c r="N124" s="55"/>
      <c r="O124" s="102"/>
    </row>
    <row r="125" s="1" customFormat="1" ht="18" customHeight="1" spans="1:15">
      <c r="A125" s="36">
        <v>44166</v>
      </c>
      <c r="B125" s="138">
        <f t="shared" si="9"/>
        <v>160000</v>
      </c>
      <c r="C125" s="81">
        <v>2</v>
      </c>
      <c r="D125" s="39" t="s">
        <v>34</v>
      </c>
      <c r="E125" s="41"/>
      <c r="F125" s="139">
        <f t="shared" si="8"/>
        <v>0</v>
      </c>
      <c r="G125" s="145">
        <f>100000+60000</f>
        <v>160000</v>
      </c>
      <c r="H125" s="83"/>
      <c r="I125" s="138"/>
      <c r="J125" s="55"/>
      <c r="K125" s="53" t="s">
        <v>85</v>
      </c>
      <c r="L125" s="54" t="s">
        <v>99</v>
      </c>
      <c r="M125" s="142" t="s">
        <v>167</v>
      </c>
      <c r="N125" s="55"/>
      <c r="O125" s="102"/>
    </row>
    <row r="126" s="1" customFormat="1" ht="18" customHeight="1" spans="1:15">
      <c r="A126" s="80">
        <v>44166</v>
      </c>
      <c r="B126" s="138">
        <f t="shared" si="9"/>
        <v>66553</v>
      </c>
      <c r="C126" s="81">
        <v>1</v>
      </c>
      <c r="D126" s="78" t="s">
        <v>34</v>
      </c>
      <c r="E126" s="41"/>
      <c r="F126" s="139">
        <f t="shared" si="8"/>
        <v>0</v>
      </c>
      <c r="G126" s="145">
        <v>66553</v>
      </c>
      <c r="H126" s="83"/>
      <c r="I126" s="138"/>
      <c r="J126" s="55"/>
      <c r="K126" s="53" t="s">
        <v>84</v>
      </c>
      <c r="L126" s="58" t="s">
        <v>63</v>
      </c>
      <c r="M126" s="142" t="s">
        <v>104</v>
      </c>
      <c r="N126" s="55"/>
      <c r="O126" s="102"/>
    </row>
    <row r="127" s="1" customFormat="1" ht="18" customHeight="1" spans="1:15">
      <c r="A127" s="36">
        <v>44166</v>
      </c>
      <c r="B127" s="138">
        <f t="shared" si="9"/>
        <v>23848</v>
      </c>
      <c r="C127" s="38">
        <v>2</v>
      </c>
      <c r="D127" s="78" t="s">
        <v>34</v>
      </c>
      <c r="E127" s="41"/>
      <c r="F127" s="139">
        <f t="shared" si="8"/>
        <v>0</v>
      </c>
      <c r="G127" s="135">
        <f>10962+12886</f>
        <v>23848</v>
      </c>
      <c r="H127" s="83"/>
      <c r="I127" s="138"/>
      <c r="J127" s="55"/>
      <c r="K127" s="53" t="s">
        <v>83</v>
      </c>
      <c r="L127" s="58" t="s">
        <v>63</v>
      </c>
      <c r="M127" s="142" t="s">
        <v>168</v>
      </c>
      <c r="N127" s="55"/>
      <c r="O127" s="102"/>
    </row>
    <row r="128" s="1" customFormat="1" ht="18" customHeight="1" spans="1:15">
      <c r="A128" s="80">
        <v>44166</v>
      </c>
      <c r="B128" s="138">
        <f t="shared" si="9"/>
        <v>63000</v>
      </c>
      <c r="C128" s="81">
        <v>1</v>
      </c>
      <c r="D128" s="78" t="s">
        <v>34</v>
      </c>
      <c r="E128" s="41"/>
      <c r="F128" s="139">
        <f t="shared" si="8"/>
        <v>0</v>
      </c>
      <c r="G128" s="145">
        <v>63000</v>
      </c>
      <c r="H128" s="83"/>
      <c r="I128" s="138"/>
      <c r="J128" s="55"/>
      <c r="K128" s="53" t="s">
        <v>141</v>
      </c>
      <c r="L128" s="58" t="s">
        <v>63</v>
      </c>
      <c r="M128" s="142" t="s">
        <v>169</v>
      </c>
      <c r="N128" s="55"/>
      <c r="O128" s="102"/>
    </row>
    <row r="129" s="1" customFormat="1" ht="18" customHeight="1" spans="1:15">
      <c r="A129" s="80">
        <v>44166</v>
      </c>
      <c r="B129" s="138">
        <f t="shared" si="9"/>
        <v>110000</v>
      </c>
      <c r="C129" s="81">
        <v>2</v>
      </c>
      <c r="D129" s="78" t="s">
        <v>34</v>
      </c>
      <c r="E129" s="41"/>
      <c r="F129" s="139">
        <f t="shared" si="8"/>
        <v>0</v>
      </c>
      <c r="G129" s="145">
        <f>80000+30000</f>
        <v>110000</v>
      </c>
      <c r="H129" s="83"/>
      <c r="I129" s="138"/>
      <c r="J129" s="55"/>
      <c r="K129" s="53" t="s">
        <v>64</v>
      </c>
      <c r="L129" s="58" t="s">
        <v>63</v>
      </c>
      <c r="M129" s="142" t="s">
        <v>170</v>
      </c>
      <c r="N129" s="55"/>
      <c r="O129" s="102"/>
    </row>
    <row r="130" s="1" customFormat="1" ht="18" customHeight="1" spans="1:15">
      <c r="A130" s="36">
        <v>44228</v>
      </c>
      <c r="B130" s="138">
        <f t="shared" si="9"/>
        <v>100000</v>
      </c>
      <c r="C130" s="38">
        <v>1</v>
      </c>
      <c r="D130" s="78" t="s">
        <v>34</v>
      </c>
      <c r="E130" s="41"/>
      <c r="F130" s="139">
        <f t="shared" si="8"/>
        <v>0</v>
      </c>
      <c r="G130" s="135">
        <v>100000</v>
      </c>
      <c r="H130" s="83"/>
      <c r="I130" s="138"/>
      <c r="J130" s="55"/>
      <c r="K130" s="53" t="s">
        <v>83</v>
      </c>
      <c r="L130" s="58" t="s">
        <v>63</v>
      </c>
      <c r="M130" s="142" t="s">
        <v>168</v>
      </c>
      <c r="N130" s="55"/>
      <c r="O130" s="102"/>
    </row>
    <row r="131" s="1" customFormat="1" ht="18" customHeight="1" spans="1:15">
      <c r="A131" s="80">
        <v>44228</v>
      </c>
      <c r="B131" s="138">
        <f t="shared" si="9"/>
        <v>150000</v>
      </c>
      <c r="C131" s="81">
        <v>1</v>
      </c>
      <c r="D131" s="78" t="s">
        <v>34</v>
      </c>
      <c r="E131" s="41"/>
      <c r="F131" s="139">
        <f t="shared" si="8"/>
        <v>0</v>
      </c>
      <c r="G131" s="145">
        <v>150000</v>
      </c>
      <c r="H131" s="83"/>
      <c r="I131" s="138"/>
      <c r="J131" s="55"/>
      <c r="K131" s="53" t="s">
        <v>84</v>
      </c>
      <c r="L131" s="58" t="s">
        <v>63</v>
      </c>
      <c r="M131" s="142" t="s">
        <v>104</v>
      </c>
      <c r="N131" s="55"/>
      <c r="O131" s="102"/>
    </row>
    <row r="132" s="1" customFormat="1" ht="18" customHeight="1" spans="1:15">
      <c r="A132" s="160">
        <v>44228</v>
      </c>
      <c r="B132" s="124">
        <f t="shared" si="9"/>
        <v>585</v>
      </c>
      <c r="C132" s="161">
        <v>3</v>
      </c>
      <c r="D132" s="162" t="s">
        <v>35</v>
      </c>
      <c r="E132" s="163"/>
      <c r="F132" s="134">
        <f t="shared" si="8"/>
        <v>0</v>
      </c>
      <c r="G132" s="164">
        <v>585</v>
      </c>
      <c r="H132" s="83"/>
      <c r="I132" s="138"/>
      <c r="J132" s="55"/>
      <c r="K132" s="53" t="s">
        <v>153</v>
      </c>
      <c r="L132" s="54" t="s">
        <v>166</v>
      </c>
      <c r="M132" s="142"/>
      <c r="N132" s="55"/>
      <c r="O132" s="102"/>
    </row>
    <row r="133" s="1" customFormat="1" ht="18" customHeight="1" spans="1:15">
      <c r="A133" s="165">
        <v>44228</v>
      </c>
      <c r="B133" s="124">
        <f t="shared" si="9"/>
        <v>30000</v>
      </c>
      <c r="C133" s="166">
        <v>1</v>
      </c>
      <c r="D133" s="167" t="s">
        <v>34</v>
      </c>
      <c r="E133" s="163"/>
      <c r="F133" s="134">
        <f t="shared" si="8"/>
        <v>0</v>
      </c>
      <c r="G133" s="164">
        <v>30000</v>
      </c>
      <c r="H133" s="83"/>
      <c r="I133" s="138"/>
      <c r="J133" s="55"/>
      <c r="K133" s="53" t="s">
        <v>141</v>
      </c>
      <c r="L133" s="58" t="s">
        <v>63</v>
      </c>
      <c r="M133" s="142" t="s">
        <v>169</v>
      </c>
      <c r="N133" s="55"/>
      <c r="O133" s="102"/>
    </row>
    <row r="134" s="1" customFormat="1" ht="18" customHeight="1" spans="1:15">
      <c r="A134" s="160">
        <v>44228</v>
      </c>
      <c r="B134" s="124">
        <f t="shared" si="9"/>
        <v>2000</v>
      </c>
      <c r="C134" s="168">
        <v>1</v>
      </c>
      <c r="D134" s="168" t="s">
        <v>34</v>
      </c>
      <c r="E134" s="163"/>
      <c r="F134" s="134">
        <f t="shared" si="8"/>
        <v>0</v>
      </c>
      <c r="G134" s="164">
        <v>2000</v>
      </c>
      <c r="H134" s="83"/>
      <c r="I134" s="138"/>
      <c r="J134" s="55"/>
      <c r="K134" s="53" t="s">
        <v>171</v>
      </c>
      <c r="L134" s="58" t="s">
        <v>172</v>
      </c>
      <c r="M134" s="142"/>
      <c r="N134" s="55"/>
      <c r="O134" s="102"/>
    </row>
    <row r="135" s="1" customFormat="1" ht="18" customHeight="1" spans="1:15">
      <c r="A135" s="160">
        <v>44228</v>
      </c>
      <c r="B135" s="124">
        <f t="shared" si="9"/>
        <v>7700</v>
      </c>
      <c r="C135" s="161">
        <v>1</v>
      </c>
      <c r="D135" s="168" t="s">
        <v>34</v>
      </c>
      <c r="E135" s="163"/>
      <c r="F135" s="134">
        <f t="shared" si="8"/>
        <v>0</v>
      </c>
      <c r="G135" s="164">
        <v>7700</v>
      </c>
      <c r="H135" s="83"/>
      <c r="I135" s="138"/>
      <c r="J135" s="55"/>
      <c r="K135" s="53" t="s">
        <v>96</v>
      </c>
      <c r="L135" s="58" t="s">
        <v>173</v>
      </c>
      <c r="M135" s="142"/>
      <c r="N135" s="55"/>
      <c r="O135" s="102"/>
    </row>
    <row r="136" s="1" customFormat="1" ht="18" customHeight="1" spans="1:15">
      <c r="A136" s="160">
        <v>44228</v>
      </c>
      <c r="B136" s="124">
        <f t="shared" si="9"/>
        <v>2450</v>
      </c>
      <c r="C136" s="161">
        <v>1</v>
      </c>
      <c r="D136" s="168" t="s">
        <v>34</v>
      </c>
      <c r="E136" s="163"/>
      <c r="F136" s="134">
        <f t="shared" si="8"/>
        <v>0</v>
      </c>
      <c r="G136" s="164">
        <v>2450</v>
      </c>
      <c r="H136" s="83"/>
      <c r="I136" s="138"/>
      <c r="J136" s="55"/>
      <c r="K136" s="53" t="s">
        <v>174</v>
      </c>
      <c r="L136" s="58" t="s">
        <v>175</v>
      </c>
      <c r="M136" s="142"/>
      <c r="N136" s="55"/>
      <c r="O136" s="102"/>
    </row>
    <row r="137" s="1" customFormat="1" ht="18" customHeight="1" spans="1:15">
      <c r="A137" s="165">
        <v>44228</v>
      </c>
      <c r="B137" s="124">
        <f t="shared" si="9"/>
        <v>287128.71</v>
      </c>
      <c r="C137" s="166">
        <v>3</v>
      </c>
      <c r="D137" s="167" t="s">
        <v>40</v>
      </c>
      <c r="E137" s="163">
        <v>0.01</v>
      </c>
      <c r="F137" s="134">
        <f t="shared" si="8"/>
        <v>2871.29</v>
      </c>
      <c r="G137" s="164">
        <f>100000+100000+90000</f>
        <v>290000</v>
      </c>
      <c r="H137" s="83"/>
      <c r="I137" s="138"/>
      <c r="J137" s="55"/>
      <c r="K137" s="53" t="s">
        <v>65</v>
      </c>
      <c r="L137" s="58" t="s">
        <v>66</v>
      </c>
      <c r="M137" s="142" t="s">
        <v>176</v>
      </c>
      <c r="N137" s="55"/>
      <c r="O137" s="102"/>
    </row>
    <row r="138" s="1" customFormat="1" ht="18" customHeight="1" spans="1:15">
      <c r="A138" s="160">
        <v>44228</v>
      </c>
      <c r="B138" s="124">
        <f t="shared" si="9"/>
        <v>300</v>
      </c>
      <c r="C138" s="161">
        <v>1</v>
      </c>
      <c r="D138" s="168" t="s">
        <v>34</v>
      </c>
      <c r="E138" s="163"/>
      <c r="F138" s="134">
        <f t="shared" si="8"/>
        <v>0</v>
      </c>
      <c r="G138" s="164">
        <v>300</v>
      </c>
      <c r="H138" s="83"/>
      <c r="I138" s="138"/>
      <c r="J138" s="55"/>
      <c r="K138" s="53" t="s">
        <v>153</v>
      </c>
      <c r="L138" s="54" t="s">
        <v>177</v>
      </c>
      <c r="M138" s="142"/>
      <c r="N138" s="55"/>
      <c r="O138" s="102"/>
    </row>
    <row r="139" s="1" customFormat="1" ht="18" customHeight="1" spans="1:15">
      <c r="A139" s="165"/>
      <c r="B139" s="124">
        <f t="shared" si="9"/>
        <v>0</v>
      </c>
      <c r="C139" s="166"/>
      <c r="D139" s="167"/>
      <c r="E139" s="163"/>
      <c r="F139" s="134">
        <f t="shared" si="8"/>
        <v>0</v>
      </c>
      <c r="G139" s="164"/>
      <c r="H139" s="113">
        <v>44063</v>
      </c>
      <c r="I139" s="124">
        <v>100000</v>
      </c>
      <c r="J139" s="126" t="s">
        <v>68</v>
      </c>
      <c r="K139" s="53" t="s">
        <v>138</v>
      </c>
      <c r="L139" s="127" t="s">
        <v>89</v>
      </c>
      <c r="M139" s="51"/>
      <c r="N139" s="55"/>
      <c r="O139" s="54"/>
    </row>
    <row r="140" s="1" customFormat="1" ht="18" customHeight="1" spans="1:15">
      <c r="A140" s="80"/>
      <c r="B140" s="124">
        <f t="shared" si="9"/>
        <v>0</v>
      </c>
      <c r="C140" s="166"/>
      <c r="D140" s="167"/>
      <c r="E140" s="163"/>
      <c r="F140" s="134">
        <f t="shared" si="8"/>
        <v>0</v>
      </c>
      <c r="G140" s="145"/>
      <c r="H140" s="47">
        <v>44063</v>
      </c>
      <c r="I140" s="124">
        <v>-100100</v>
      </c>
      <c r="J140" s="55" t="s">
        <v>71</v>
      </c>
      <c r="K140" s="58" t="s">
        <v>178</v>
      </c>
      <c r="L140" s="58" t="s">
        <v>179</v>
      </c>
      <c r="M140" s="51"/>
      <c r="N140" s="55"/>
      <c r="O140" s="54"/>
    </row>
    <row r="141" s="1" customFormat="1" ht="18" customHeight="1" spans="1:15">
      <c r="A141" s="103"/>
      <c r="B141" s="124">
        <f t="shared" si="9"/>
        <v>0</v>
      </c>
      <c r="C141" s="169"/>
      <c r="D141" s="25"/>
      <c r="E141" s="163"/>
      <c r="F141" s="134">
        <f t="shared" si="8"/>
        <v>0</v>
      </c>
      <c r="G141" s="145"/>
      <c r="H141" s="83">
        <v>44050</v>
      </c>
      <c r="I141" s="139">
        <v>40500</v>
      </c>
      <c r="J141" s="55" t="s">
        <v>68</v>
      </c>
      <c r="K141" s="58" t="s">
        <v>83</v>
      </c>
      <c r="L141" s="171" t="s">
        <v>180</v>
      </c>
      <c r="M141" s="34"/>
      <c r="N141" s="55"/>
      <c r="O141" s="54"/>
    </row>
    <row r="142" s="1" customFormat="1" ht="18" customHeight="1" spans="1:15">
      <c r="A142" s="44"/>
      <c r="B142" s="124">
        <f t="shared" si="9"/>
        <v>0</v>
      </c>
      <c r="C142" s="169"/>
      <c r="D142" s="25"/>
      <c r="E142" s="163"/>
      <c r="F142" s="134">
        <f t="shared" si="8"/>
        <v>0</v>
      </c>
      <c r="G142" s="145"/>
      <c r="H142" s="83">
        <v>44048</v>
      </c>
      <c r="I142" s="134">
        <v>-40550</v>
      </c>
      <c r="J142" s="55" t="s">
        <v>71</v>
      </c>
      <c r="K142" s="58" t="s">
        <v>178</v>
      </c>
      <c r="L142" s="58" t="s">
        <v>179</v>
      </c>
      <c r="M142" s="34"/>
      <c r="N142" s="55"/>
      <c r="O142" s="54" t="s">
        <v>181</v>
      </c>
    </row>
    <row r="143" s="1" customFormat="1" ht="18" customHeight="1" spans="1:15">
      <c r="A143" s="44"/>
      <c r="B143" s="124">
        <f t="shared" si="9"/>
        <v>0</v>
      </c>
      <c r="C143" s="169"/>
      <c r="D143" s="25"/>
      <c r="E143" s="163"/>
      <c r="F143" s="134">
        <f t="shared" si="8"/>
        <v>0</v>
      </c>
      <c r="G143" s="145"/>
      <c r="H143" s="83">
        <v>44179</v>
      </c>
      <c r="I143" s="124">
        <v>-500000</v>
      </c>
      <c r="J143" s="55" t="s">
        <v>71</v>
      </c>
      <c r="K143" s="58" t="s">
        <v>178</v>
      </c>
      <c r="L143" s="58" t="s">
        <v>179</v>
      </c>
      <c r="M143" s="51"/>
      <c r="N143" s="55"/>
      <c r="O143" s="54"/>
    </row>
    <row r="144" s="1" customFormat="1" ht="18" customHeight="1" spans="1:15">
      <c r="A144" s="44"/>
      <c r="B144" s="124">
        <f t="shared" si="9"/>
        <v>0</v>
      </c>
      <c r="C144" s="169"/>
      <c r="D144" s="25"/>
      <c r="E144" s="163"/>
      <c r="F144" s="134">
        <f t="shared" si="8"/>
        <v>0</v>
      </c>
      <c r="G144" s="145"/>
      <c r="H144" s="83">
        <v>44182</v>
      </c>
      <c r="I144" s="124">
        <v>-1800</v>
      </c>
      <c r="J144" s="55" t="s">
        <v>71</v>
      </c>
      <c r="K144" s="58" t="s">
        <v>178</v>
      </c>
      <c r="L144" s="58" t="s">
        <v>179</v>
      </c>
      <c r="M144" s="51"/>
      <c r="N144" s="55"/>
      <c r="O144" s="54"/>
    </row>
    <row r="145" s="1" customFormat="1" ht="18" customHeight="1" spans="1:15">
      <c r="A145" s="44"/>
      <c r="B145" s="124">
        <f t="shared" si="9"/>
        <v>0</v>
      </c>
      <c r="C145" s="169"/>
      <c r="D145" s="25"/>
      <c r="E145" s="163"/>
      <c r="F145" s="134">
        <f t="shared" si="8"/>
        <v>0</v>
      </c>
      <c r="G145" s="145"/>
      <c r="H145" s="83">
        <v>44181</v>
      </c>
      <c r="I145" s="124">
        <v>-101350</v>
      </c>
      <c r="J145" s="55" t="s">
        <v>71</v>
      </c>
      <c r="K145" s="58" t="s">
        <v>178</v>
      </c>
      <c r="L145" s="58" t="s">
        <v>179</v>
      </c>
      <c r="M145" s="51"/>
      <c r="N145" s="55"/>
      <c r="O145" s="54"/>
    </row>
    <row r="146" s="1" customFormat="1" ht="18" customHeight="1" spans="1:15">
      <c r="A146" s="44"/>
      <c r="B146" s="124">
        <f t="shared" si="9"/>
        <v>0</v>
      </c>
      <c r="C146" s="169"/>
      <c r="D146" s="25"/>
      <c r="E146" s="163"/>
      <c r="F146" s="134">
        <f t="shared" si="8"/>
        <v>0</v>
      </c>
      <c r="G146" s="145"/>
      <c r="H146" s="83">
        <v>44259</v>
      </c>
      <c r="I146" s="124">
        <v>-42488.73</v>
      </c>
      <c r="J146" s="55" t="s">
        <v>71</v>
      </c>
      <c r="K146" s="58" t="s">
        <v>178</v>
      </c>
      <c r="L146" s="58" t="s">
        <v>179</v>
      </c>
      <c r="M146" s="51"/>
      <c r="N146" s="55"/>
      <c r="O146" s="54"/>
    </row>
    <row r="147" s="1" customFormat="1" ht="18" customHeight="1" spans="1:15">
      <c r="A147" s="44"/>
      <c r="B147" s="124">
        <f t="shared" si="9"/>
        <v>0</v>
      </c>
      <c r="C147" s="169"/>
      <c r="D147" s="25"/>
      <c r="E147" s="163"/>
      <c r="F147" s="134">
        <f t="shared" si="8"/>
        <v>0</v>
      </c>
      <c r="G147" s="145"/>
      <c r="H147" s="24">
        <v>44267</v>
      </c>
      <c r="I147" s="124">
        <v>20754</v>
      </c>
      <c r="J147" s="51" t="s">
        <v>68</v>
      </c>
      <c r="K147" s="172" t="s">
        <v>83</v>
      </c>
      <c r="L147" s="58" t="s">
        <v>182</v>
      </c>
      <c r="M147" s="51"/>
      <c r="N147" s="55"/>
      <c r="O147" s="54"/>
    </row>
    <row r="148" s="1" customFormat="1" ht="18" customHeight="1" spans="1:15">
      <c r="A148" s="44"/>
      <c r="B148" s="124">
        <f t="shared" si="9"/>
        <v>0</v>
      </c>
      <c r="C148" s="169"/>
      <c r="D148" s="25"/>
      <c r="E148" s="163"/>
      <c r="F148" s="134">
        <f t="shared" si="8"/>
        <v>0</v>
      </c>
      <c r="G148" s="145"/>
      <c r="H148" s="24">
        <v>44267</v>
      </c>
      <c r="I148" s="124">
        <v>21734.73</v>
      </c>
      <c r="J148" s="51" t="s">
        <v>68</v>
      </c>
      <c r="K148" s="172" t="s">
        <v>76</v>
      </c>
      <c r="L148" s="58" t="s">
        <v>183</v>
      </c>
      <c r="M148" s="51"/>
      <c r="N148" s="55"/>
      <c r="O148" s="54"/>
    </row>
    <row r="149" s="1" customFormat="1" ht="18" customHeight="1" spans="1:15">
      <c r="A149" s="44">
        <v>44287</v>
      </c>
      <c r="B149" s="124">
        <f t="shared" ref="B149:B161" si="10">ROUND(G149/(1+E149),2)</f>
        <v>1065.12</v>
      </c>
      <c r="C149" s="169"/>
      <c r="D149" s="168" t="s">
        <v>34</v>
      </c>
      <c r="E149" s="163"/>
      <c r="F149" s="134">
        <f t="shared" ref="F149:F161" si="11">ROUND(G149/(1+E149)*E149,2)</f>
        <v>0</v>
      </c>
      <c r="G149" s="145">
        <v>1065.12</v>
      </c>
      <c r="H149" s="24"/>
      <c r="I149" s="124"/>
      <c r="J149" s="51"/>
      <c r="K149" s="172" t="s">
        <v>184</v>
      </c>
      <c r="L149" s="58" t="s">
        <v>185</v>
      </c>
      <c r="M149" s="51"/>
      <c r="N149" s="55"/>
      <c r="O149" s="54"/>
    </row>
    <row r="150" s="1" customFormat="1" ht="18" customHeight="1" spans="1:15">
      <c r="A150" s="44">
        <v>44287</v>
      </c>
      <c r="B150" s="124">
        <f t="shared" si="10"/>
        <v>53000</v>
      </c>
      <c r="C150" s="169"/>
      <c r="D150" s="168" t="s">
        <v>34</v>
      </c>
      <c r="E150" s="163"/>
      <c r="F150" s="134">
        <f t="shared" si="11"/>
        <v>0</v>
      </c>
      <c r="G150" s="145">
        <v>53000</v>
      </c>
      <c r="H150" s="24"/>
      <c r="I150" s="124"/>
      <c r="J150" s="51"/>
      <c r="K150" s="172" t="s">
        <v>118</v>
      </c>
      <c r="L150" s="58" t="s">
        <v>123</v>
      </c>
      <c r="M150" s="142" t="s">
        <v>164</v>
      </c>
      <c r="N150" s="55"/>
      <c r="O150" s="54"/>
    </row>
    <row r="151" s="1" customFormat="1" ht="52" customHeight="1" spans="1:15">
      <c r="A151" s="44">
        <v>44287</v>
      </c>
      <c r="B151" s="124">
        <f t="shared" si="10"/>
        <v>1340</v>
      </c>
      <c r="C151" s="169"/>
      <c r="D151" s="168" t="s">
        <v>34</v>
      </c>
      <c r="E151" s="163"/>
      <c r="F151" s="134">
        <f t="shared" si="11"/>
        <v>0</v>
      </c>
      <c r="G151" s="145">
        <v>1340</v>
      </c>
      <c r="H151" s="24"/>
      <c r="I151" s="124"/>
      <c r="J151" s="51"/>
      <c r="K151" s="173" t="s">
        <v>186</v>
      </c>
      <c r="L151" s="174" t="s">
        <v>187</v>
      </c>
      <c r="M151" s="51"/>
      <c r="N151" s="55"/>
      <c r="O151" s="54"/>
    </row>
    <row r="152" s="1" customFormat="1" ht="24" customHeight="1" spans="1:15">
      <c r="A152" s="44">
        <v>44287</v>
      </c>
      <c r="B152" s="124">
        <f t="shared" si="10"/>
        <v>2049</v>
      </c>
      <c r="C152" s="169"/>
      <c r="D152" s="168" t="s">
        <v>34</v>
      </c>
      <c r="E152" s="163"/>
      <c r="F152" s="134">
        <f t="shared" si="11"/>
        <v>0</v>
      </c>
      <c r="G152" s="145">
        <v>2049</v>
      </c>
      <c r="H152" s="24"/>
      <c r="I152" s="124"/>
      <c r="J152" s="51"/>
      <c r="K152" s="173" t="s">
        <v>188</v>
      </c>
      <c r="L152" s="174" t="s">
        <v>189</v>
      </c>
      <c r="M152" s="51"/>
      <c r="N152" s="55"/>
      <c r="O152" s="54"/>
    </row>
    <row r="153" s="1" customFormat="1" ht="18" customHeight="1" spans="1:15">
      <c r="A153" s="44">
        <v>44287</v>
      </c>
      <c r="B153" s="124">
        <f t="shared" si="10"/>
        <v>14700</v>
      </c>
      <c r="C153" s="169"/>
      <c r="D153" s="168" t="s">
        <v>34</v>
      </c>
      <c r="E153" s="163"/>
      <c r="F153" s="134">
        <f t="shared" si="11"/>
        <v>0</v>
      </c>
      <c r="G153" s="145">
        <v>14700</v>
      </c>
      <c r="H153" s="24"/>
      <c r="I153" s="124"/>
      <c r="J153" s="51"/>
      <c r="K153" s="172" t="s">
        <v>190</v>
      </c>
      <c r="L153" s="58" t="s">
        <v>191</v>
      </c>
      <c r="M153" s="51"/>
      <c r="N153" s="55"/>
      <c r="O153" s="54"/>
    </row>
    <row r="154" s="1" customFormat="1" ht="18" customHeight="1" spans="1:15">
      <c r="A154" s="44"/>
      <c r="B154" s="124">
        <f t="shared" si="10"/>
        <v>0</v>
      </c>
      <c r="C154" s="169"/>
      <c r="D154" s="25"/>
      <c r="E154" s="163"/>
      <c r="F154" s="134">
        <f t="shared" si="11"/>
        <v>0</v>
      </c>
      <c r="G154" s="145"/>
      <c r="H154" s="83"/>
      <c r="I154" s="124"/>
      <c r="J154" s="55"/>
      <c r="K154" s="58"/>
      <c r="L154" s="58"/>
      <c r="M154" s="51"/>
      <c r="N154" s="55"/>
      <c r="O154" s="54"/>
    </row>
    <row r="155" s="1" customFormat="1" ht="18" customHeight="1" spans="1:15">
      <c r="A155" s="44"/>
      <c r="B155" s="124">
        <f t="shared" si="10"/>
        <v>0</v>
      </c>
      <c r="C155" s="169"/>
      <c r="D155" s="25"/>
      <c r="E155" s="163"/>
      <c r="F155" s="134">
        <f t="shared" si="11"/>
        <v>0</v>
      </c>
      <c r="G155" s="145"/>
      <c r="H155" s="83"/>
      <c r="I155" s="124"/>
      <c r="J155" s="55"/>
      <c r="K155" s="58"/>
      <c r="L155" s="58"/>
      <c r="M155" s="51"/>
      <c r="N155" s="55"/>
      <c r="O155" s="54"/>
    </row>
    <row r="156" s="1" customFormat="1" ht="18" customHeight="1" spans="1:15">
      <c r="A156" s="44"/>
      <c r="B156" s="124">
        <f t="shared" si="10"/>
        <v>0</v>
      </c>
      <c r="C156" s="169"/>
      <c r="D156" s="25"/>
      <c r="E156" s="163"/>
      <c r="F156" s="134">
        <f t="shared" si="11"/>
        <v>0</v>
      </c>
      <c r="G156" s="145"/>
      <c r="H156" s="83"/>
      <c r="I156" s="124"/>
      <c r="J156" s="55"/>
      <c r="K156" s="58"/>
      <c r="L156" s="58"/>
      <c r="M156" s="51"/>
      <c r="N156" s="55"/>
      <c r="O156" s="54"/>
    </row>
    <row r="157" s="1" customFormat="1" ht="18" customHeight="1" spans="1:15">
      <c r="A157" s="44"/>
      <c r="B157" s="124">
        <f t="shared" si="10"/>
        <v>0</v>
      </c>
      <c r="C157" s="169"/>
      <c r="D157" s="25"/>
      <c r="E157" s="163"/>
      <c r="F157" s="134">
        <f t="shared" si="11"/>
        <v>0</v>
      </c>
      <c r="G157" s="145"/>
      <c r="H157" s="83"/>
      <c r="I157" s="124"/>
      <c r="J157" s="55"/>
      <c r="K157" s="58"/>
      <c r="L157" s="58"/>
      <c r="M157" s="51"/>
      <c r="N157" s="55"/>
      <c r="O157" s="54"/>
    </row>
    <row r="158" s="1" customFormat="1" ht="18" customHeight="1" spans="1:15">
      <c r="A158" s="44"/>
      <c r="B158" s="124">
        <f t="shared" si="10"/>
        <v>0</v>
      </c>
      <c r="C158" s="169"/>
      <c r="D158" s="25"/>
      <c r="E158" s="163"/>
      <c r="F158" s="134">
        <f t="shared" si="11"/>
        <v>0</v>
      </c>
      <c r="G158" s="145"/>
      <c r="H158" s="83"/>
      <c r="I158" s="124"/>
      <c r="J158" s="55"/>
      <c r="K158" s="58"/>
      <c r="L158" s="58"/>
      <c r="M158" s="51"/>
      <c r="N158" s="55"/>
      <c r="O158" s="54"/>
    </row>
    <row r="159" s="1" customFormat="1" ht="18" customHeight="1" spans="1:15">
      <c r="A159" s="44"/>
      <c r="B159" s="124">
        <f t="shared" si="10"/>
        <v>0</v>
      </c>
      <c r="C159" s="72"/>
      <c r="D159" s="37"/>
      <c r="E159" s="41"/>
      <c r="F159" s="134">
        <f t="shared" si="11"/>
        <v>0</v>
      </c>
      <c r="G159" s="145"/>
      <c r="H159" s="83"/>
      <c r="I159" s="124"/>
      <c r="J159" s="55"/>
      <c r="K159" s="58"/>
      <c r="L159" s="58"/>
      <c r="M159" s="51"/>
      <c r="N159" s="55"/>
      <c r="O159" s="54"/>
    </row>
    <row r="160" s="1" customFormat="1" ht="18" customHeight="1" spans="1:16">
      <c r="A160" s="44"/>
      <c r="B160" s="124">
        <f t="shared" si="10"/>
        <v>0</v>
      </c>
      <c r="C160" s="72"/>
      <c r="D160" s="37"/>
      <c r="E160" s="41"/>
      <c r="F160" s="134">
        <f t="shared" si="11"/>
        <v>0</v>
      </c>
      <c r="G160" s="145"/>
      <c r="H160" s="47" t="s">
        <v>192</v>
      </c>
      <c r="I160" s="134">
        <v>-100</v>
      </c>
      <c r="J160" s="55" t="s">
        <v>193</v>
      </c>
      <c r="K160" s="58" t="s">
        <v>194</v>
      </c>
      <c r="L160" s="58"/>
      <c r="M160" s="51"/>
      <c r="N160" s="55"/>
      <c r="O160" s="54"/>
      <c r="P160" s="1">
        <f>200+170.05+295.07+200+200</f>
        <v>1065.12</v>
      </c>
    </row>
    <row r="161" s="1" customFormat="1" ht="18" customHeight="1" spans="1:15">
      <c r="A161" s="44"/>
      <c r="B161" s="124">
        <f t="shared" si="10"/>
        <v>0</v>
      </c>
      <c r="C161" s="72"/>
      <c r="D161" s="37"/>
      <c r="E161" s="41"/>
      <c r="F161" s="134">
        <f t="shared" si="11"/>
        <v>0</v>
      </c>
      <c r="G161" s="145"/>
      <c r="H161" s="47" t="s">
        <v>192</v>
      </c>
      <c r="I161" s="139">
        <v>100</v>
      </c>
      <c r="J161" s="55" t="s">
        <v>195</v>
      </c>
      <c r="K161" s="58" t="s">
        <v>196</v>
      </c>
      <c r="L161" s="58"/>
      <c r="M161" s="51"/>
      <c r="N161" s="55"/>
      <c r="O161" s="54"/>
    </row>
    <row r="162" s="1" customFormat="1" ht="18" customHeight="1" spans="1:15">
      <c r="A162" s="44"/>
      <c r="B162" s="138">
        <f t="shared" ref="B160:B166" si="12">ROUND(G162/(1+E162),2)</f>
        <v>0</v>
      </c>
      <c r="C162" s="72"/>
      <c r="D162" s="37"/>
      <c r="E162" s="41"/>
      <c r="F162" s="139">
        <f t="shared" ref="F160:F166" si="13">ROUND(G162/(1+E162)*E162,2)</f>
        <v>0</v>
      </c>
      <c r="G162" s="145"/>
      <c r="H162" s="47" t="s">
        <v>192</v>
      </c>
      <c r="I162" s="134">
        <v>-100</v>
      </c>
      <c r="J162" s="55" t="s">
        <v>193</v>
      </c>
      <c r="K162" s="58" t="s">
        <v>194</v>
      </c>
      <c r="L162" s="55"/>
      <c r="M162" s="34"/>
      <c r="N162" s="55"/>
      <c r="O162" s="54"/>
    </row>
    <row r="163" s="1" customFormat="1" ht="18" customHeight="1" spans="1:15">
      <c r="A163" s="44"/>
      <c r="B163" s="138">
        <f t="shared" si="12"/>
        <v>0</v>
      </c>
      <c r="C163" s="72"/>
      <c r="D163" s="37"/>
      <c r="E163" s="41"/>
      <c r="F163" s="139">
        <f t="shared" si="13"/>
        <v>0</v>
      </c>
      <c r="G163" s="145"/>
      <c r="H163" s="47" t="s">
        <v>192</v>
      </c>
      <c r="I163" s="139">
        <v>100</v>
      </c>
      <c r="J163" s="55" t="s">
        <v>195</v>
      </c>
      <c r="K163" s="58" t="s">
        <v>196</v>
      </c>
      <c r="L163" s="55"/>
      <c r="M163" s="34"/>
      <c r="N163" s="55"/>
      <c r="O163" s="54"/>
    </row>
    <row r="164" s="1" customFormat="1" ht="18" customHeight="1" spans="1:15">
      <c r="A164" s="44"/>
      <c r="B164" s="138">
        <f t="shared" si="12"/>
        <v>0</v>
      </c>
      <c r="C164" s="72"/>
      <c r="D164" s="37"/>
      <c r="E164" s="41"/>
      <c r="F164" s="139">
        <f t="shared" si="13"/>
        <v>0</v>
      </c>
      <c r="G164" s="145"/>
      <c r="H164" s="47" t="s">
        <v>192</v>
      </c>
      <c r="I164" s="139">
        <v>100</v>
      </c>
      <c r="J164" s="55" t="s">
        <v>195</v>
      </c>
      <c r="K164" s="58" t="s">
        <v>196</v>
      </c>
      <c r="L164" s="55"/>
      <c r="M164" s="34"/>
      <c r="N164" s="55"/>
      <c r="O164" s="102"/>
    </row>
    <row r="165" s="1" customFormat="1" ht="18" customHeight="1" spans="1:15">
      <c r="A165" s="44"/>
      <c r="B165" s="139">
        <f t="shared" si="12"/>
        <v>0</v>
      </c>
      <c r="C165" s="72"/>
      <c r="D165" s="37"/>
      <c r="E165" s="41"/>
      <c r="F165" s="139">
        <f t="shared" si="13"/>
        <v>0</v>
      </c>
      <c r="G165" s="145"/>
      <c r="H165" s="47" t="s">
        <v>192</v>
      </c>
      <c r="I165" s="139">
        <v>50</v>
      </c>
      <c r="J165" s="55" t="s">
        <v>195</v>
      </c>
      <c r="K165" s="58" t="s">
        <v>196</v>
      </c>
      <c r="L165" s="55"/>
      <c r="M165" s="34"/>
      <c r="N165" s="55"/>
      <c r="O165" s="102"/>
    </row>
    <row r="166" s="1" customFormat="1" ht="18" customHeight="1" spans="1:15">
      <c r="A166" s="36">
        <v>44063</v>
      </c>
      <c r="B166" s="138">
        <f t="shared" si="12"/>
        <v>0</v>
      </c>
      <c r="C166" s="38"/>
      <c r="D166" s="39"/>
      <c r="E166" s="40"/>
      <c r="F166" s="139">
        <f t="shared" si="13"/>
        <v>0</v>
      </c>
      <c r="G166" s="135"/>
      <c r="H166" s="47" t="s">
        <v>192</v>
      </c>
      <c r="I166" s="138">
        <v>1000</v>
      </c>
      <c r="J166" s="55" t="s">
        <v>195</v>
      </c>
      <c r="K166" s="53" t="s">
        <v>196</v>
      </c>
      <c r="L166" s="54"/>
      <c r="M166" s="51"/>
      <c r="N166" s="55"/>
      <c r="O166" s="102"/>
    </row>
    <row r="167" ht="18" customHeight="1" spans="1:15">
      <c r="A167" s="31" t="s">
        <v>20</v>
      </c>
      <c r="B167" s="136">
        <f>SUM(B14:B166)</f>
        <v>13332051.23</v>
      </c>
      <c r="C167" s="31"/>
      <c r="D167" s="114"/>
      <c r="E167" s="114"/>
      <c r="F167" s="137">
        <f>SUM(F14:F166)</f>
        <v>1101647.41</v>
      </c>
      <c r="G167" s="170">
        <f>SUM(G14:G166)</f>
        <v>14433698.64</v>
      </c>
      <c r="H167" s="116"/>
      <c r="I167" s="31">
        <f>SUM(I14:I166)</f>
        <v>-3.63797880709171e-12</v>
      </c>
      <c r="J167" s="128"/>
      <c r="K167" s="114"/>
      <c r="L167" s="34"/>
      <c r="M167" s="51"/>
      <c r="N167" s="51"/>
      <c r="O167" s="34"/>
    </row>
    <row r="168" ht="18" customHeight="1" spans="1:14">
      <c r="A168" s="117" t="s">
        <v>197</v>
      </c>
      <c r="B168" s="117">
        <f>B11*0.936</f>
        <v>9445871.55963303</v>
      </c>
      <c r="C168" s="117"/>
      <c r="D168" s="119"/>
      <c r="E168" s="119"/>
      <c r="F168" s="118"/>
      <c r="G168" s="117">
        <f>G11-G167</f>
        <v>-3433698.64</v>
      </c>
      <c r="H168" s="23" t="s">
        <v>198</v>
      </c>
      <c r="I168" s="31">
        <f>I11-I167</f>
        <v>3.63797880709171e-12</v>
      </c>
      <c r="J168" s="9"/>
      <c r="K168" s="129"/>
      <c r="M168" s="130"/>
      <c r="N168" s="130"/>
    </row>
    <row r="169" ht="18" customHeight="1" spans="1:14">
      <c r="A169" s="117" t="s">
        <v>199</v>
      </c>
      <c r="B169" s="117">
        <f>B168-B167</f>
        <v>-3886179.67036697</v>
      </c>
      <c r="C169" s="117"/>
      <c r="D169" s="119"/>
      <c r="E169" s="119"/>
      <c r="F169" s="118"/>
      <c r="G169" s="118"/>
      <c r="H169" s="120"/>
      <c r="I169" s="118"/>
      <c r="J169" s="9"/>
      <c r="M169" s="130"/>
      <c r="N169" s="130"/>
    </row>
    <row r="170" ht="18" customHeight="1" spans="1:3">
      <c r="A170" s="5" t="s">
        <v>200</v>
      </c>
      <c r="C170" s="5"/>
    </row>
    <row r="171" ht="18" customHeight="1" spans="1:6">
      <c r="A171" s="23" t="s">
        <v>201</v>
      </c>
      <c r="B171" s="22" t="s">
        <v>202</v>
      </c>
      <c r="C171" s="34"/>
      <c r="D171" s="23" t="s">
        <v>201</v>
      </c>
      <c r="E171" s="21" t="s">
        <v>14</v>
      </c>
      <c r="F171" s="22" t="s">
        <v>202</v>
      </c>
    </row>
    <row r="172" ht="18" customHeight="1" spans="1:6">
      <c r="A172" s="34" t="s">
        <v>203</v>
      </c>
      <c r="B172" s="37">
        <f>(B168-B167)*0.25</f>
        <v>-971544.917591743</v>
      </c>
      <c r="C172" s="34"/>
      <c r="D172" s="29" t="s">
        <v>204</v>
      </c>
      <c r="E172" s="23" t="s">
        <v>205</v>
      </c>
      <c r="F172" s="137">
        <f>F11-F167</f>
        <v>-395225.391651376</v>
      </c>
    </row>
    <row r="173" ht="18" customHeight="1" spans="1:6">
      <c r="A173" s="34" t="s">
        <v>206</v>
      </c>
      <c r="B173" s="121"/>
      <c r="C173" s="34"/>
      <c r="D173" s="122" t="s">
        <v>207</v>
      </c>
      <c r="E173" s="123">
        <v>0.07</v>
      </c>
      <c r="F173" s="124">
        <f>F172*E173</f>
        <v>-27665.7774155963</v>
      </c>
    </row>
    <row r="174" ht="18" customHeight="1" spans="1:6">
      <c r="A174" s="34" t="s">
        <v>208</v>
      </c>
      <c r="B174" s="121"/>
      <c r="C174" s="34"/>
      <c r="D174" s="122" t="s">
        <v>209</v>
      </c>
      <c r="E174" s="123">
        <v>0.03</v>
      </c>
      <c r="F174" s="124">
        <f>F172*E174</f>
        <v>-11856.7617495413</v>
      </c>
    </row>
    <row r="175" ht="18" customHeight="1" spans="1:6">
      <c r="A175" s="34"/>
      <c r="B175" s="25"/>
      <c r="C175" s="34"/>
      <c r="D175" s="122" t="s">
        <v>210</v>
      </c>
      <c r="E175" s="123">
        <v>0.02</v>
      </c>
      <c r="F175" s="124">
        <f>F172*E175</f>
        <v>-7904.50783302752</v>
      </c>
    </row>
    <row r="176" ht="18" customHeight="1" spans="1:6">
      <c r="A176" s="29" t="s">
        <v>211</v>
      </c>
      <c r="B176" s="30">
        <f>SUM(B172:B175)</f>
        <v>-971544.917591743</v>
      </c>
      <c r="C176" s="34"/>
      <c r="D176" s="35" t="s">
        <v>211</v>
      </c>
      <c r="E176" s="29"/>
      <c r="F176" s="137">
        <f>SUM(F172:F175)</f>
        <v>-442652.438649541</v>
      </c>
    </row>
    <row r="177" ht="18" customHeight="1" spans="3:6">
      <c r="C177" s="5"/>
      <c r="D177" s="124" t="s">
        <v>206</v>
      </c>
      <c r="E177" s="125">
        <v>0.0003</v>
      </c>
      <c r="F177" s="124">
        <f>G11*E177</f>
        <v>3300</v>
      </c>
    </row>
    <row r="178" ht="18" customHeight="1" spans="3:6">
      <c r="C178" s="5"/>
      <c r="D178" s="124" t="s">
        <v>208</v>
      </c>
      <c r="E178" s="125">
        <v>0.0006</v>
      </c>
      <c r="F178" s="124">
        <f>B172</f>
        <v>-971544.917591743</v>
      </c>
    </row>
    <row r="179" ht="18" customHeight="1" spans="3:11">
      <c r="C179" s="5"/>
      <c r="D179" s="21" t="s">
        <v>211</v>
      </c>
      <c r="E179" s="114"/>
      <c r="F179" s="31">
        <f>F178+F177</f>
        <v>-968244.917591743</v>
      </c>
      <c r="K179" s="9" t="s">
        <v>116</v>
      </c>
    </row>
    <row r="180" ht="18" customHeight="1" spans="3:6">
      <c r="C180" s="5"/>
      <c r="D180" s="21" t="s">
        <v>20</v>
      </c>
      <c r="E180" s="31"/>
      <c r="F180" s="31">
        <f>F176+F179</f>
        <v>-1410897.35624128</v>
      </c>
    </row>
    <row r="181" ht="18" customHeight="1" spans="3:6">
      <c r="C181" s="5"/>
      <c r="D181" s="31" t="s">
        <v>203</v>
      </c>
      <c r="E181" s="114">
        <v>0.016</v>
      </c>
      <c r="F181" s="31">
        <f>G11*E181</f>
        <v>176000</v>
      </c>
    </row>
    <row r="182" ht="18" customHeight="1" spans="3:9">
      <c r="C182" s="5"/>
      <c r="G182" s="6">
        <f>SUBTOTAL(9,G52:G181)</f>
        <v>24530015.56</v>
      </c>
      <c r="I182" s="6">
        <f>SUBTOTAL(9,I52:I181)</f>
        <v>499.999999999996</v>
      </c>
    </row>
    <row r="183" ht="18" customHeight="1" spans="3:10">
      <c r="C183" s="5"/>
      <c r="H183" s="7" t="s">
        <v>212</v>
      </c>
      <c r="I183" s="6">
        <f>G182-I182</f>
        <v>24529515.56</v>
      </c>
      <c r="J183" s="6"/>
    </row>
    <row r="184" ht="18" customHeight="1" spans="3:3">
      <c r="C184" s="5"/>
    </row>
    <row r="185" spans="3:3">
      <c r="C185" s="5"/>
    </row>
    <row r="186" spans="3:3">
      <c r="C186" s="5"/>
    </row>
    <row r="187" spans="3:3">
      <c r="C187" s="5"/>
    </row>
    <row r="188" spans="3:3">
      <c r="C188" s="5"/>
    </row>
    <row r="189" spans="3:3">
      <c r="C189" s="5"/>
    </row>
    <row r="190" spans="3:3">
      <c r="C190" s="5"/>
    </row>
    <row r="191" spans="3:3">
      <c r="C191" s="5"/>
    </row>
    <row r="192" spans="3:3">
      <c r="C192" s="5"/>
    </row>
    <row r="193" spans="3:3">
      <c r="C193" s="5"/>
    </row>
    <row r="194" spans="3:3">
      <c r="C194" s="5"/>
    </row>
    <row r="195" spans="3:11">
      <c r="C195" s="5"/>
      <c r="K195" s="9" t="s">
        <v>213</v>
      </c>
    </row>
    <row r="196" spans="3:3">
      <c r="C196" s="5"/>
    </row>
    <row r="197" spans="3:3">
      <c r="C197" s="5"/>
    </row>
    <row r="198" spans="3:3">
      <c r="C198" s="5"/>
    </row>
    <row r="199" spans="3:3">
      <c r="C199" s="5"/>
    </row>
    <row r="200" spans="3:3">
      <c r="C200" s="5"/>
    </row>
  </sheetData>
  <autoFilter ref="A13:S183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6"/>
  <sheetViews>
    <sheetView topLeftCell="A82" workbookViewId="0">
      <selection activeCell="I22" sqref="I22"/>
    </sheetView>
  </sheetViews>
  <sheetFormatPr defaultColWidth="9" defaultRowHeight="11.25"/>
  <cols>
    <col min="1" max="1" width="10.75" style="5" customWidth="1"/>
    <col min="2" max="2" width="13.125" style="6" customWidth="1"/>
    <col min="3" max="3" width="6" style="7" customWidth="1"/>
    <col min="4" max="4" width="13.375" style="7" customWidth="1"/>
    <col min="5" max="5" width="6" style="7" customWidth="1"/>
    <col min="6" max="6" width="13.125" style="6" customWidth="1"/>
    <col min="7" max="7" width="14.125" style="6" customWidth="1"/>
    <col min="8" max="8" width="9.625" style="7" customWidth="1"/>
    <col min="9" max="9" width="13.875" style="6" customWidth="1"/>
    <col min="10" max="10" width="6.125" style="8" customWidth="1"/>
    <col min="11" max="11" width="31.5" style="9" customWidth="1"/>
    <col min="12" max="12" width="12.75" style="9" customWidth="1"/>
    <col min="13" max="13" width="11" style="9" customWidth="1"/>
    <col min="14" max="14" width="8.625" style="9" customWidth="1"/>
    <col min="15" max="16384" width="9" style="9"/>
  </cols>
  <sheetData>
    <row r="1" ht="21.95" customHeight="1" spans="1:12">
      <c r="A1" s="10" t="s">
        <v>0</v>
      </c>
      <c r="B1" s="10"/>
      <c r="C1" s="10"/>
      <c r="D1" s="11"/>
      <c r="E1" s="10"/>
      <c r="F1" s="12"/>
      <c r="G1" s="12"/>
      <c r="H1" s="10"/>
      <c r="I1" s="12"/>
      <c r="J1" s="10"/>
      <c r="K1" s="11"/>
      <c r="L1" s="11"/>
    </row>
    <row r="2" ht="18" customHeight="1" spans="1:12">
      <c r="A2" s="13" t="s">
        <v>1</v>
      </c>
      <c r="B2" s="14">
        <v>43641</v>
      </c>
      <c r="C2" s="15" t="s">
        <v>2</v>
      </c>
      <c r="D2" s="16">
        <v>69356092</v>
      </c>
      <c r="E2" s="17" t="s">
        <v>3</v>
      </c>
      <c r="F2" s="18" t="s">
        <v>4</v>
      </c>
      <c r="G2" s="19" t="s">
        <v>5</v>
      </c>
      <c r="H2" s="20"/>
      <c r="I2" s="48"/>
      <c r="J2" s="49"/>
      <c r="K2" s="11"/>
      <c r="L2" s="11"/>
    </row>
    <row r="3" ht="18" customHeight="1" spans="1:12">
      <c r="A3" s="13" t="s">
        <v>6</v>
      </c>
      <c r="C3"/>
      <c r="D3"/>
      <c r="E3"/>
      <c r="G3"/>
      <c r="H3" s="11"/>
      <c r="I3" s="50"/>
      <c r="J3" s="11"/>
      <c r="K3" s="11"/>
      <c r="L3" s="11"/>
    </row>
    <row r="4" ht="18" customHeight="1" spans="1:12">
      <c r="A4" s="5" t="s">
        <v>7</v>
      </c>
      <c r="H4" s="11"/>
      <c r="I4" s="50"/>
      <c r="J4" s="11"/>
      <c r="K4" s="11"/>
      <c r="L4" s="11"/>
    </row>
    <row r="5" ht="18" customHeight="1" spans="1:10">
      <c r="A5" s="21" t="s">
        <v>8</v>
      </c>
      <c r="B5" s="22" t="s">
        <v>9</v>
      </c>
      <c r="C5" s="21" t="s">
        <v>10</v>
      </c>
      <c r="D5" s="21"/>
      <c r="E5" s="21" t="s">
        <v>11</v>
      </c>
      <c r="F5" s="22"/>
      <c r="G5" s="22" t="s">
        <v>12</v>
      </c>
      <c r="H5" s="23" t="s">
        <v>13</v>
      </c>
      <c r="I5" s="22"/>
      <c r="J5" s="23"/>
    </row>
    <row r="6" ht="18" customHeight="1" spans="1:10">
      <c r="A6" s="21"/>
      <c r="B6" s="22"/>
      <c r="C6" s="21" t="s">
        <v>14</v>
      </c>
      <c r="D6" s="21" t="s">
        <v>15</v>
      </c>
      <c r="E6" s="21" t="s">
        <v>14</v>
      </c>
      <c r="F6" s="22" t="s">
        <v>15</v>
      </c>
      <c r="G6" s="22"/>
      <c r="H6" s="23" t="s">
        <v>16</v>
      </c>
      <c r="I6" s="22" t="s">
        <v>17</v>
      </c>
      <c r="J6" s="23" t="s">
        <v>18</v>
      </c>
    </row>
    <row r="7" ht="18" customHeight="1" spans="1:10">
      <c r="A7" s="24">
        <v>44099</v>
      </c>
      <c r="B7" s="25">
        <f t="shared" ref="B7:B8" si="0">G7/(1+C7+E7)</f>
        <v>10091743.1192661</v>
      </c>
      <c r="C7" s="26">
        <v>0.02</v>
      </c>
      <c r="D7" s="27">
        <f t="shared" ref="D7:D8" si="1">G7/(1+E7+C7)*C7</f>
        <v>201834.862385321</v>
      </c>
      <c r="E7" s="26">
        <v>0.07</v>
      </c>
      <c r="F7" s="25">
        <f t="shared" ref="F7:F8" si="2">G7/(1+C7+E7)*E7</f>
        <v>706422.018348624</v>
      </c>
      <c r="G7" s="28">
        <v>11000000</v>
      </c>
      <c r="H7" s="24"/>
      <c r="I7" s="25"/>
      <c r="J7" s="51"/>
    </row>
    <row r="8" ht="18" customHeight="1" spans="1:10">
      <c r="A8" s="24"/>
      <c r="B8" s="25">
        <f t="shared" si="0"/>
        <v>0</v>
      </c>
      <c r="C8" s="26">
        <v>0.02</v>
      </c>
      <c r="D8" s="27">
        <f t="shared" si="1"/>
        <v>0</v>
      </c>
      <c r="E8" s="26">
        <v>0.07</v>
      </c>
      <c r="F8" s="25">
        <f t="shared" si="2"/>
        <v>0</v>
      </c>
      <c r="G8" s="28"/>
      <c r="H8" s="24"/>
      <c r="I8" s="25"/>
      <c r="J8" s="51"/>
    </row>
    <row r="9" ht="18" customHeight="1" spans="1:11">
      <c r="A9" s="24"/>
      <c r="B9" s="25">
        <f t="shared" ref="B8:B10" si="3">G9/(1+C9+E9)</f>
        <v>0</v>
      </c>
      <c r="C9" s="26">
        <v>0.02</v>
      </c>
      <c r="D9" s="27">
        <f t="shared" ref="D8:D10" si="4">G9/(1+E9+C9)*C9</f>
        <v>0</v>
      </c>
      <c r="E9" s="26">
        <v>0.07</v>
      </c>
      <c r="F9" s="25">
        <f t="shared" ref="F8:F10" si="5">G9/(1+C9+E9)*E9</f>
        <v>0</v>
      </c>
      <c r="G9" s="28"/>
      <c r="H9" s="24"/>
      <c r="I9" s="25"/>
      <c r="J9" s="51"/>
      <c r="K9" s="9" t="s">
        <v>19</v>
      </c>
    </row>
    <row r="10" ht="18" customHeight="1" spans="1:10">
      <c r="A10" s="24"/>
      <c r="B10" s="25">
        <f t="shared" si="3"/>
        <v>0</v>
      </c>
      <c r="C10" s="26">
        <v>0.02</v>
      </c>
      <c r="D10" s="27">
        <f t="shared" si="4"/>
        <v>0</v>
      </c>
      <c r="E10" s="26">
        <v>0.07</v>
      </c>
      <c r="F10" s="25">
        <f t="shared" si="5"/>
        <v>0</v>
      </c>
      <c r="G10" s="28"/>
      <c r="H10" s="24"/>
      <c r="I10" s="25"/>
      <c r="J10" s="51"/>
    </row>
    <row r="11" ht="18" customHeight="1" spans="1:10">
      <c r="A11" s="29" t="s">
        <v>20</v>
      </c>
      <c r="B11" s="30">
        <f>SUM(B7:B10)</f>
        <v>10091743.1192661</v>
      </c>
      <c r="C11" s="31"/>
      <c r="D11" s="32">
        <f t="shared" ref="D11:G11" si="6">SUM(D7:D10)</f>
        <v>201834.862385321</v>
      </c>
      <c r="E11" s="31"/>
      <c r="F11" s="33">
        <f t="shared" si="6"/>
        <v>706422.018348624</v>
      </c>
      <c r="G11" s="32">
        <f t="shared" si="6"/>
        <v>11000000</v>
      </c>
      <c r="H11" s="34"/>
      <c r="I11" s="32">
        <f>SUM(I7:I10)</f>
        <v>0</v>
      </c>
      <c r="J11" s="34"/>
    </row>
    <row r="12" ht="18" customHeight="1" spans="1:12">
      <c r="A12" s="5" t="s">
        <v>21</v>
      </c>
      <c r="J12" s="7"/>
      <c r="K12" s="7"/>
      <c r="L12" s="8"/>
    </row>
    <row r="13" ht="18" customHeight="1" spans="1:15">
      <c r="A13" s="35" t="s">
        <v>22</v>
      </c>
      <c r="B13" s="22" t="s">
        <v>23</v>
      </c>
      <c r="C13" s="21" t="s">
        <v>24</v>
      </c>
      <c r="D13" s="21" t="s">
        <v>25</v>
      </c>
      <c r="E13" s="21" t="s">
        <v>14</v>
      </c>
      <c r="F13" s="22" t="s">
        <v>26</v>
      </c>
      <c r="G13" s="22" t="s">
        <v>12</v>
      </c>
      <c r="H13" s="21" t="s">
        <v>27</v>
      </c>
      <c r="I13" s="22" t="s">
        <v>28</v>
      </c>
      <c r="J13" s="21" t="s">
        <v>18</v>
      </c>
      <c r="K13" s="52" t="s">
        <v>29</v>
      </c>
      <c r="L13" s="23" t="s">
        <v>30</v>
      </c>
      <c r="M13" s="23" t="s">
        <v>31</v>
      </c>
      <c r="N13" s="23" t="s">
        <v>32</v>
      </c>
      <c r="O13" s="23" t="s">
        <v>33</v>
      </c>
    </row>
    <row r="14" s="1" customFormat="1" ht="18" customHeight="1" spans="1:15">
      <c r="A14" s="36">
        <v>43800</v>
      </c>
      <c r="B14" s="37">
        <f>ROUND(G14/(1+E14),2)</f>
        <v>32592.13</v>
      </c>
      <c r="C14" s="38"/>
      <c r="D14" s="39" t="s">
        <v>34</v>
      </c>
      <c r="E14" s="40"/>
      <c r="F14" s="37">
        <f>ROUND(G14/(1+E14)*E14,2)</f>
        <v>0</v>
      </c>
      <c r="G14" s="28">
        <v>32592.13</v>
      </c>
      <c r="H14" s="24"/>
      <c r="I14" s="25"/>
      <c r="J14" s="51"/>
      <c r="K14" s="53" t="s">
        <v>35</v>
      </c>
      <c r="L14" s="54"/>
      <c r="M14" s="55"/>
      <c r="N14" s="55"/>
      <c r="O14" s="54"/>
    </row>
    <row r="15" s="1" customFormat="1" ht="18" customHeight="1" spans="1:15">
      <c r="A15" s="36">
        <v>43800</v>
      </c>
      <c r="B15" s="37">
        <f t="shared" ref="B15:B56" si="7">ROUND(G15/(1+E15),2)</f>
        <v>15779</v>
      </c>
      <c r="C15" s="38"/>
      <c r="D15" s="39" t="s">
        <v>34</v>
      </c>
      <c r="E15" s="40"/>
      <c r="F15" s="37">
        <f t="shared" ref="F15:F55" si="8">ROUND(G15/(1+E15)*E15,2)</f>
        <v>0</v>
      </c>
      <c r="G15" s="28">
        <v>15779</v>
      </c>
      <c r="H15" s="24"/>
      <c r="I15" s="25"/>
      <c r="J15" s="51"/>
      <c r="K15" s="53" t="s">
        <v>36</v>
      </c>
      <c r="L15" s="54"/>
      <c r="M15" s="55"/>
      <c r="N15" s="55"/>
      <c r="O15" s="54"/>
    </row>
    <row r="16" s="1" customFormat="1" ht="18" customHeight="1" spans="1:15">
      <c r="A16" s="36">
        <v>43800</v>
      </c>
      <c r="B16" s="37">
        <f t="shared" si="7"/>
        <v>10082.5</v>
      </c>
      <c r="C16" s="38"/>
      <c r="D16" s="39" t="s">
        <v>34</v>
      </c>
      <c r="E16" s="40"/>
      <c r="F16" s="37">
        <f t="shared" si="8"/>
        <v>0</v>
      </c>
      <c r="G16" s="28">
        <v>10082.5</v>
      </c>
      <c r="H16" s="24"/>
      <c r="I16" s="25"/>
      <c r="J16" s="51"/>
      <c r="K16" s="53" t="s">
        <v>37</v>
      </c>
      <c r="L16" s="54"/>
      <c r="M16" s="55"/>
      <c r="N16" s="55"/>
      <c r="O16" s="54"/>
    </row>
    <row r="17" s="1" customFormat="1" ht="18" customHeight="1" spans="1:15">
      <c r="A17" s="36">
        <v>43800</v>
      </c>
      <c r="B17" s="37">
        <f t="shared" si="7"/>
        <v>2520</v>
      </c>
      <c r="C17" s="38"/>
      <c r="D17" s="39" t="s">
        <v>34</v>
      </c>
      <c r="E17" s="40"/>
      <c r="F17" s="37">
        <f t="shared" si="8"/>
        <v>0</v>
      </c>
      <c r="G17" s="28">
        <v>2520</v>
      </c>
      <c r="H17" s="24"/>
      <c r="I17" s="25"/>
      <c r="J17" s="51"/>
      <c r="K17" s="53" t="s">
        <v>35</v>
      </c>
      <c r="L17" s="54"/>
      <c r="M17" s="55"/>
      <c r="N17" s="55"/>
      <c r="O17" s="54"/>
    </row>
    <row r="18" s="1" customFormat="1" ht="18" customHeight="1" spans="1:15">
      <c r="A18" s="36">
        <v>43800</v>
      </c>
      <c r="B18" s="37">
        <f t="shared" si="7"/>
        <v>48682</v>
      </c>
      <c r="C18" s="38"/>
      <c r="D18" s="39" t="s">
        <v>34</v>
      </c>
      <c r="E18" s="40"/>
      <c r="F18" s="37">
        <f t="shared" si="8"/>
        <v>0</v>
      </c>
      <c r="G18" s="28">
        <v>48682</v>
      </c>
      <c r="H18" s="24"/>
      <c r="I18" s="25"/>
      <c r="J18" s="51"/>
      <c r="K18" s="53" t="s">
        <v>38</v>
      </c>
      <c r="L18" s="54" t="s">
        <v>39</v>
      </c>
      <c r="M18" s="55"/>
      <c r="N18" s="55"/>
      <c r="O18" s="54"/>
    </row>
    <row r="19" s="1" customFormat="1" ht="18" customHeight="1" spans="1:17">
      <c r="A19" s="36">
        <v>43800</v>
      </c>
      <c r="B19" s="37">
        <f t="shared" si="7"/>
        <v>26539.82</v>
      </c>
      <c r="C19" s="38"/>
      <c r="D19" s="39" t="s">
        <v>40</v>
      </c>
      <c r="E19" s="41">
        <v>0.13</v>
      </c>
      <c r="F19" s="37">
        <f t="shared" si="8"/>
        <v>3450.18</v>
      </c>
      <c r="G19" s="28">
        <v>29990</v>
      </c>
      <c r="H19" s="24"/>
      <c r="I19" s="25"/>
      <c r="J19" s="51"/>
      <c r="K19" s="53" t="s">
        <v>41</v>
      </c>
      <c r="L19" s="54" t="s">
        <v>42</v>
      </c>
      <c r="M19" s="55"/>
      <c r="N19" s="55"/>
      <c r="O19" s="54"/>
      <c r="Q19" s="1" t="s">
        <v>43</v>
      </c>
    </row>
    <row r="20" s="1" customFormat="1" ht="18" customHeight="1" spans="1:15">
      <c r="A20" s="36">
        <v>43800</v>
      </c>
      <c r="B20" s="37">
        <f t="shared" si="7"/>
        <v>5353.98</v>
      </c>
      <c r="C20" s="38"/>
      <c r="D20" s="39" t="s">
        <v>40</v>
      </c>
      <c r="E20" s="41">
        <v>0.13</v>
      </c>
      <c r="F20" s="37">
        <f t="shared" si="8"/>
        <v>696.02</v>
      </c>
      <c r="G20" s="28">
        <v>6050</v>
      </c>
      <c r="H20" s="24"/>
      <c r="I20" s="25"/>
      <c r="J20" s="51"/>
      <c r="K20" s="53" t="s">
        <v>41</v>
      </c>
      <c r="L20" s="54" t="s">
        <v>44</v>
      </c>
      <c r="M20" s="55"/>
      <c r="N20" s="55"/>
      <c r="O20" s="54"/>
    </row>
    <row r="21" s="1" customFormat="1" ht="18" customHeight="1" spans="1:15">
      <c r="A21" s="36">
        <v>43800</v>
      </c>
      <c r="B21" s="37">
        <f t="shared" si="7"/>
        <v>309.73</v>
      </c>
      <c r="C21" s="38"/>
      <c r="D21" s="39" t="s">
        <v>40</v>
      </c>
      <c r="E21" s="41">
        <v>0.13</v>
      </c>
      <c r="F21" s="37">
        <f t="shared" si="8"/>
        <v>40.27</v>
      </c>
      <c r="G21" s="28">
        <v>350</v>
      </c>
      <c r="H21" s="24"/>
      <c r="I21" s="25"/>
      <c r="J21" s="51"/>
      <c r="K21" s="53" t="s">
        <v>45</v>
      </c>
      <c r="L21" s="54" t="s">
        <v>46</v>
      </c>
      <c r="M21" s="55"/>
      <c r="N21" s="55"/>
      <c r="O21" s="54"/>
    </row>
    <row r="22" s="1" customFormat="1" ht="18" customHeight="1" spans="1:15">
      <c r="A22" s="36">
        <v>43800</v>
      </c>
      <c r="B22" s="37">
        <f t="shared" si="7"/>
        <v>884.96</v>
      </c>
      <c r="C22" s="38"/>
      <c r="D22" s="39" t="s">
        <v>40</v>
      </c>
      <c r="E22" s="41">
        <v>0.13</v>
      </c>
      <c r="F22" s="37">
        <f t="shared" si="8"/>
        <v>115.04</v>
      </c>
      <c r="G22" s="28">
        <v>1000</v>
      </c>
      <c r="H22" s="24"/>
      <c r="I22" s="25"/>
      <c r="J22" s="51"/>
      <c r="K22" s="53" t="s">
        <v>47</v>
      </c>
      <c r="L22" s="54" t="s">
        <v>48</v>
      </c>
      <c r="M22" s="55"/>
      <c r="N22" s="55"/>
      <c r="O22" s="54"/>
    </row>
    <row r="23" s="1" customFormat="1" ht="18" customHeight="1" spans="1:15">
      <c r="A23" s="36">
        <v>43800</v>
      </c>
      <c r="B23" s="37">
        <f t="shared" si="7"/>
        <v>9320.39</v>
      </c>
      <c r="C23" s="38"/>
      <c r="D23" s="39" t="s">
        <v>40</v>
      </c>
      <c r="E23" s="41">
        <v>0.03</v>
      </c>
      <c r="F23" s="37">
        <f t="shared" si="8"/>
        <v>279.61</v>
      </c>
      <c r="G23" s="28">
        <v>9600</v>
      </c>
      <c r="H23" s="24"/>
      <c r="I23" s="25"/>
      <c r="J23" s="51"/>
      <c r="K23" s="53" t="s">
        <v>49</v>
      </c>
      <c r="L23" s="54" t="s">
        <v>50</v>
      </c>
      <c r="M23" s="55"/>
      <c r="N23" s="55"/>
      <c r="O23" s="54"/>
    </row>
    <row r="24" s="1" customFormat="1" ht="18" customHeight="1" spans="1:15">
      <c r="A24" s="36">
        <v>43800</v>
      </c>
      <c r="B24" s="37">
        <f t="shared" si="7"/>
        <v>11154.4</v>
      </c>
      <c r="C24" s="38"/>
      <c r="D24" s="39" t="s">
        <v>34</v>
      </c>
      <c r="E24" s="40"/>
      <c r="F24" s="37">
        <f t="shared" si="8"/>
        <v>0</v>
      </c>
      <c r="G24" s="28">
        <v>11154.4</v>
      </c>
      <c r="H24" s="24"/>
      <c r="I24" s="25"/>
      <c r="J24" s="51"/>
      <c r="K24" s="53" t="s">
        <v>51</v>
      </c>
      <c r="L24" s="54" t="s">
        <v>52</v>
      </c>
      <c r="M24" s="55"/>
      <c r="N24" s="55"/>
      <c r="O24" s="54"/>
    </row>
    <row r="25" s="1" customFormat="1" ht="18" customHeight="1" spans="1:15">
      <c r="A25" s="36">
        <v>43800</v>
      </c>
      <c r="B25" s="37">
        <f t="shared" si="7"/>
        <v>15635.05</v>
      </c>
      <c r="C25" s="38"/>
      <c r="D25" s="39" t="s">
        <v>34</v>
      </c>
      <c r="E25" s="40"/>
      <c r="F25" s="37">
        <f t="shared" si="8"/>
        <v>0</v>
      </c>
      <c r="G25" s="28">
        <v>15635.05</v>
      </c>
      <c r="H25" s="24"/>
      <c r="I25" s="25"/>
      <c r="J25" s="51"/>
      <c r="K25" s="53" t="s">
        <v>53</v>
      </c>
      <c r="L25" s="54"/>
      <c r="M25" s="55"/>
      <c r="N25" s="55"/>
      <c r="O25" s="54"/>
    </row>
    <row r="26" s="1" customFormat="1" ht="18" customHeight="1" spans="1:15">
      <c r="A26" s="36">
        <v>43800</v>
      </c>
      <c r="B26" s="37">
        <f t="shared" si="7"/>
        <v>88495.58</v>
      </c>
      <c r="C26" s="38"/>
      <c r="D26" s="39" t="s">
        <v>40</v>
      </c>
      <c r="E26" s="41">
        <v>0.13</v>
      </c>
      <c r="F26" s="37">
        <f t="shared" si="8"/>
        <v>11504.42</v>
      </c>
      <c r="G26" s="28">
        <v>100000</v>
      </c>
      <c r="H26" s="24"/>
      <c r="I26" s="25"/>
      <c r="J26" s="51"/>
      <c r="K26" s="53" t="s">
        <v>54</v>
      </c>
      <c r="L26" s="54" t="s">
        <v>55</v>
      </c>
      <c r="M26" s="55"/>
      <c r="N26" s="55"/>
      <c r="O26" s="54"/>
    </row>
    <row r="27" s="1" customFormat="1" ht="18" customHeight="1" spans="1:15">
      <c r="A27" s="36">
        <v>43800</v>
      </c>
      <c r="B27" s="37">
        <f t="shared" si="7"/>
        <v>4660.19</v>
      </c>
      <c r="C27" s="38"/>
      <c r="D27" s="39" t="s">
        <v>40</v>
      </c>
      <c r="E27" s="41">
        <v>0.03</v>
      </c>
      <c r="F27" s="37">
        <f t="shared" si="8"/>
        <v>139.81</v>
      </c>
      <c r="G27" s="28">
        <v>4800</v>
      </c>
      <c r="H27" s="24"/>
      <c r="I27" s="25"/>
      <c r="J27" s="51"/>
      <c r="K27" s="53" t="s">
        <v>49</v>
      </c>
      <c r="L27" s="54" t="s">
        <v>56</v>
      </c>
      <c r="M27" s="55"/>
      <c r="N27" s="55"/>
      <c r="O27" s="54"/>
    </row>
    <row r="28" s="1" customFormat="1" ht="18" customHeight="1" spans="1:15">
      <c r="A28" s="36">
        <v>43800</v>
      </c>
      <c r="B28" s="37">
        <f t="shared" si="7"/>
        <v>88495.58</v>
      </c>
      <c r="C28" s="38"/>
      <c r="D28" s="39" t="s">
        <v>40</v>
      </c>
      <c r="E28" s="41">
        <v>0.13</v>
      </c>
      <c r="F28" s="37">
        <f t="shared" si="8"/>
        <v>11504.42</v>
      </c>
      <c r="G28" s="28">
        <v>100000</v>
      </c>
      <c r="H28" s="24"/>
      <c r="I28" s="25"/>
      <c r="J28" s="51"/>
      <c r="K28" s="53" t="s">
        <v>54</v>
      </c>
      <c r="L28" s="54" t="s">
        <v>57</v>
      </c>
      <c r="M28" s="55"/>
      <c r="N28" s="55"/>
      <c r="O28" s="54"/>
    </row>
    <row r="29" s="1" customFormat="1" ht="18" customHeight="1" spans="1:15">
      <c r="A29" s="36">
        <v>43800</v>
      </c>
      <c r="B29" s="37">
        <f t="shared" si="7"/>
        <v>2055</v>
      </c>
      <c r="C29" s="38"/>
      <c r="D29" s="39" t="s">
        <v>34</v>
      </c>
      <c r="E29" s="40"/>
      <c r="F29" s="37">
        <f t="shared" si="8"/>
        <v>0</v>
      </c>
      <c r="G29" s="28">
        <v>2055</v>
      </c>
      <c r="H29" s="24"/>
      <c r="I29" s="25"/>
      <c r="J29" s="51"/>
      <c r="K29" s="53" t="s">
        <v>53</v>
      </c>
      <c r="L29" s="54"/>
      <c r="M29" s="55"/>
      <c r="N29" s="55"/>
      <c r="O29" s="54"/>
    </row>
    <row r="30" s="1" customFormat="1" ht="18" customHeight="1" spans="1:15">
      <c r="A30" s="36">
        <v>43800</v>
      </c>
      <c r="B30" s="37">
        <f t="shared" si="7"/>
        <v>3192.45</v>
      </c>
      <c r="C30" s="38"/>
      <c r="D30" s="39" t="s">
        <v>40</v>
      </c>
      <c r="E30" s="41">
        <v>0.06</v>
      </c>
      <c r="F30" s="37">
        <f t="shared" si="8"/>
        <v>191.55</v>
      </c>
      <c r="G30" s="28">
        <v>3384</v>
      </c>
      <c r="H30" s="24"/>
      <c r="I30" s="25"/>
      <c r="J30" s="51"/>
      <c r="K30" s="53" t="s">
        <v>58</v>
      </c>
      <c r="L30" s="54" t="s">
        <v>59</v>
      </c>
      <c r="M30" s="55"/>
      <c r="N30" s="55"/>
      <c r="O30" s="54"/>
    </row>
    <row r="31" s="1" customFormat="1" ht="18" customHeight="1" spans="1:15">
      <c r="A31" s="36">
        <v>43800</v>
      </c>
      <c r="B31" s="37">
        <f t="shared" si="7"/>
        <v>413</v>
      </c>
      <c r="C31" s="38"/>
      <c r="D31" s="39" t="s">
        <v>34</v>
      </c>
      <c r="E31" s="40"/>
      <c r="F31" s="37">
        <f t="shared" si="8"/>
        <v>0</v>
      </c>
      <c r="G31" s="28">
        <v>413</v>
      </c>
      <c r="H31" s="24"/>
      <c r="I31" s="25"/>
      <c r="J31" s="51"/>
      <c r="K31" s="53" t="s">
        <v>60</v>
      </c>
      <c r="L31" s="54" t="s">
        <v>61</v>
      </c>
      <c r="M31" s="55"/>
      <c r="N31" s="55"/>
      <c r="O31" s="54"/>
    </row>
    <row r="32" s="1" customFormat="1" ht="18" customHeight="1" spans="1:15">
      <c r="A32" s="36">
        <v>43831</v>
      </c>
      <c r="B32" s="37">
        <f t="shared" si="7"/>
        <v>30000</v>
      </c>
      <c r="C32" s="38"/>
      <c r="D32" s="39" t="s">
        <v>34</v>
      </c>
      <c r="E32" s="40"/>
      <c r="F32" s="37">
        <f t="shared" si="8"/>
        <v>0</v>
      </c>
      <c r="G32" s="28">
        <v>30000</v>
      </c>
      <c r="H32" s="24"/>
      <c r="I32" s="25"/>
      <c r="J32" s="51"/>
      <c r="K32" s="53" t="s">
        <v>62</v>
      </c>
      <c r="L32" s="54" t="s">
        <v>63</v>
      </c>
      <c r="M32" s="55"/>
      <c r="N32" s="55"/>
      <c r="O32" s="54"/>
    </row>
    <row r="33" s="1" customFormat="1" ht="18" customHeight="1" spans="1:15">
      <c r="A33" s="36">
        <v>43831</v>
      </c>
      <c r="B33" s="37">
        <f t="shared" si="7"/>
        <v>30000</v>
      </c>
      <c r="C33" s="38"/>
      <c r="D33" s="39" t="s">
        <v>34</v>
      </c>
      <c r="E33" s="40"/>
      <c r="F33" s="37">
        <f t="shared" si="8"/>
        <v>0</v>
      </c>
      <c r="G33" s="28">
        <v>30000</v>
      </c>
      <c r="H33" s="24"/>
      <c r="I33" s="25"/>
      <c r="J33" s="51"/>
      <c r="K33" s="53" t="s">
        <v>62</v>
      </c>
      <c r="L33" s="54" t="s">
        <v>63</v>
      </c>
      <c r="M33" s="55"/>
      <c r="N33" s="55"/>
      <c r="O33" s="54"/>
    </row>
    <row r="34" s="1" customFormat="1" ht="18" customHeight="1" spans="1:15">
      <c r="A34" s="36">
        <v>43831</v>
      </c>
      <c r="B34" s="37">
        <f t="shared" si="7"/>
        <v>30000</v>
      </c>
      <c r="C34" s="38"/>
      <c r="D34" s="39" t="s">
        <v>34</v>
      </c>
      <c r="E34" s="40"/>
      <c r="F34" s="37">
        <f t="shared" si="8"/>
        <v>0</v>
      </c>
      <c r="G34" s="28">
        <v>30000</v>
      </c>
      <c r="H34" s="24"/>
      <c r="I34" s="25"/>
      <c r="J34" s="51"/>
      <c r="K34" s="53" t="s">
        <v>62</v>
      </c>
      <c r="L34" s="54" t="s">
        <v>63</v>
      </c>
      <c r="M34" s="55"/>
      <c r="N34" s="55"/>
      <c r="O34" s="54"/>
    </row>
    <row r="35" s="1" customFormat="1" ht="18" customHeight="1" spans="1:15">
      <c r="A35" s="36">
        <v>43831</v>
      </c>
      <c r="B35" s="37">
        <f t="shared" si="7"/>
        <v>130000</v>
      </c>
      <c r="C35" s="38"/>
      <c r="D35" s="39" t="s">
        <v>34</v>
      </c>
      <c r="E35" s="40"/>
      <c r="F35" s="37">
        <f t="shared" si="8"/>
        <v>0</v>
      </c>
      <c r="G35" s="28">
        <v>130000</v>
      </c>
      <c r="H35" s="24"/>
      <c r="I35" s="25"/>
      <c r="J35" s="51"/>
      <c r="K35" s="53" t="s">
        <v>64</v>
      </c>
      <c r="L35" s="54" t="s">
        <v>63</v>
      </c>
      <c r="M35" s="55"/>
      <c r="N35" s="55"/>
      <c r="O35" s="54"/>
    </row>
    <row r="36" s="1" customFormat="1" ht="18" customHeight="1" spans="1:15">
      <c r="A36" s="36">
        <v>43831</v>
      </c>
      <c r="B36" s="37">
        <f t="shared" si="7"/>
        <v>1605</v>
      </c>
      <c r="C36" s="38"/>
      <c r="D36" s="39" t="s">
        <v>34</v>
      </c>
      <c r="E36" s="40"/>
      <c r="F36" s="37">
        <f t="shared" si="8"/>
        <v>0</v>
      </c>
      <c r="G36" s="28">
        <v>1605</v>
      </c>
      <c r="H36" s="24"/>
      <c r="I36" s="25"/>
      <c r="J36" s="51"/>
      <c r="K36" s="53" t="s">
        <v>53</v>
      </c>
      <c r="L36" s="54"/>
      <c r="M36" s="55"/>
      <c r="N36" s="55"/>
      <c r="O36" s="54"/>
    </row>
    <row r="37" s="1" customFormat="1" ht="18" customHeight="1" spans="1:15">
      <c r="A37" s="36">
        <v>43831</v>
      </c>
      <c r="B37" s="37">
        <f t="shared" si="7"/>
        <v>279602.91</v>
      </c>
      <c r="C37" s="38"/>
      <c r="D37" s="39" t="s">
        <v>40</v>
      </c>
      <c r="E37" s="41">
        <v>0.03</v>
      </c>
      <c r="F37" s="37">
        <f t="shared" si="8"/>
        <v>8388.09</v>
      </c>
      <c r="G37" s="28">
        <v>287991</v>
      </c>
      <c r="H37" s="24"/>
      <c r="I37" s="25"/>
      <c r="J37" s="51"/>
      <c r="K37" s="53" t="s">
        <v>65</v>
      </c>
      <c r="L37" s="54" t="s">
        <v>66</v>
      </c>
      <c r="M37" s="55" t="s">
        <v>67</v>
      </c>
      <c r="N37" s="55"/>
      <c r="O37" s="54"/>
    </row>
    <row r="38" s="1" customFormat="1" ht="18" customHeight="1" spans="1:15">
      <c r="A38" s="36"/>
      <c r="B38" s="37">
        <f t="shared" si="7"/>
        <v>0</v>
      </c>
      <c r="C38" s="38"/>
      <c r="D38" s="39"/>
      <c r="E38" s="40"/>
      <c r="F38" s="42">
        <f t="shared" si="8"/>
        <v>0</v>
      </c>
      <c r="G38" s="28"/>
      <c r="H38" s="24">
        <v>43847</v>
      </c>
      <c r="I38" s="25">
        <v>456170</v>
      </c>
      <c r="J38" s="51" t="s">
        <v>68</v>
      </c>
      <c r="K38" s="53" t="s">
        <v>69</v>
      </c>
      <c r="L38" s="54" t="s">
        <v>70</v>
      </c>
      <c r="M38" s="55"/>
      <c r="N38" s="55"/>
      <c r="O38" s="54"/>
    </row>
    <row r="39" s="1" customFormat="1" ht="18" customHeight="1" spans="1:15">
      <c r="A39" s="36"/>
      <c r="B39" s="37">
        <f t="shared" si="7"/>
        <v>0</v>
      </c>
      <c r="C39" s="38"/>
      <c r="D39" s="39"/>
      <c r="E39" s="40"/>
      <c r="F39" s="42">
        <f t="shared" si="8"/>
        <v>0</v>
      </c>
      <c r="G39" s="28"/>
      <c r="H39" s="24">
        <v>43845</v>
      </c>
      <c r="I39" s="25">
        <v>-456170</v>
      </c>
      <c r="J39" s="51" t="s">
        <v>71</v>
      </c>
      <c r="K39" s="53" t="s">
        <v>72</v>
      </c>
      <c r="L39" s="54" t="s">
        <v>73</v>
      </c>
      <c r="M39" s="55"/>
      <c r="N39" s="55"/>
      <c r="O39" s="54"/>
    </row>
    <row r="40" s="1" customFormat="1" ht="18" customHeight="1" spans="1:15">
      <c r="A40" s="36"/>
      <c r="B40" s="37">
        <f t="shared" si="7"/>
        <v>0</v>
      </c>
      <c r="C40" s="38"/>
      <c r="D40" s="39"/>
      <c r="E40" s="40"/>
      <c r="F40" s="42">
        <f t="shared" si="8"/>
        <v>0</v>
      </c>
      <c r="G40" s="28"/>
      <c r="H40" s="24">
        <v>43849</v>
      </c>
      <c r="I40" s="25">
        <v>73858</v>
      </c>
      <c r="J40" s="51" t="s">
        <v>68</v>
      </c>
      <c r="K40" s="53" t="s">
        <v>74</v>
      </c>
      <c r="L40" s="54" t="s">
        <v>75</v>
      </c>
      <c r="M40" s="55"/>
      <c r="N40" s="55"/>
      <c r="O40" s="54"/>
    </row>
    <row r="41" s="1" customFormat="1" ht="18" customHeight="1" spans="1:15">
      <c r="A41" s="36"/>
      <c r="B41" s="37">
        <f t="shared" si="7"/>
        <v>0</v>
      </c>
      <c r="C41" s="38"/>
      <c r="D41" s="39"/>
      <c r="E41" s="40"/>
      <c r="F41" s="42">
        <f t="shared" si="8"/>
        <v>0</v>
      </c>
      <c r="G41" s="28"/>
      <c r="H41" s="24">
        <v>43847</v>
      </c>
      <c r="I41" s="25">
        <v>-73858</v>
      </c>
      <c r="J41" s="51" t="s">
        <v>71</v>
      </c>
      <c r="K41" s="53" t="s">
        <v>72</v>
      </c>
      <c r="L41" s="54" t="s">
        <v>73</v>
      </c>
      <c r="M41" s="55"/>
      <c r="N41" s="55"/>
      <c r="O41" s="54"/>
    </row>
    <row r="42" s="1" customFormat="1" ht="18" customHeight="1" spans="1:15">
      <c r="A42" s="36"/>
      <c r="B42" s="37">
        <f t="shared" si="7"/>
        <v>0</v>
      </c>
      <c r="C42" s="38"/>
      <c r="D42" s="39"/>
      <c r="E42" s="40"/>
      <c r="F42" s="42">
        <f t="shared" si="8"/>
        <v>0</v>
      </c>
      <c r="G42" s="28"/>
      <c r="H42" s="24">
        <v>43849</v>
      </c>
      <c r="I42" s="25">
        <v>80000</v>
      </c>
      <c r="J42" s="51" t="s">
        <v>68</v>
      </c>
      <c r="K42" s="53" t="s">
        <v>62</v>
      </c>
      <c r="L42" s="54" t="s">
        <v>75</v>
      </c>
      <c r="M42" s="55"/>
      <c r="N42" s="55"/>
      <c r="O42" s="54"/>
    </row>
    <row r="43" s="1" customFormat="1" ht="18" customHeight="1" spans="1:15">
      <c r="A43" s="36"/>
      <c r="B43" s="37">
        <f t="shared" si="7"/>
        <v>0</v>
      </c>
      <c r="C43" s="38"/>
      <c r="D43" s="39"/>
      <c r="E43" s="40"/>
      <c r="F43" s="42">
        <f t="shared" si="8"/>
        <v>0</v>
      </c>
      <c r="G43" s="28"/>
      <c r="H43" s="24">
        <v>43847</v>
      </c>
      <c r="I43" s="25">
        <v>-80000</v>
      </c>
      <c r="J43" s="51" t="s">
        <v>71</v>
      </c>
      <c r="K43" s="53" t="s">
        <v>72</v>
      </c>
      <c r="L43" s="54" t="s">
        <v>73</v>
      </c>
      <c r="M43" s="55"/>
      <c r="N43" s="55"/>
      <c r="O43" s="54"/>
    </row>
    <row r="44" s="1" customFormat="1" ht="18" customHeight="1" spans="1:15">
      <c r="A44" s="36"/>
      <c r="B44" s="37">
        <f t="shared" si="7"/>
        <v>0</v>
      </c>
      <c r="C44" s="38"/>
      <c r="D44" s="39"/>
      <c r="E44" s="40"/>
      <c r="F44" s="42">
        <f t="shared" ref="F38:F71" si="9">ROUND(G44/(1+E44)*E44,2)</f>
        <v>0</v>
      </c>
      <c r="G44" s="28"/>
      <c r="H44" s="24">
        <v>43849</v>
      </c>
      <c r="I44" s="25">
        <v>100000</v>
      </c>
      <c r="J44" s="51" t="s">
        <v>68</v>
      </c>
      <c r="K44" s="53" t="s">
        <v>76</v>
      </c>
      <c r="L44" s="54" t="s">
        <v>77</v>
      </c>
      <c r="M44" s="55"/>
      <c r="N44" s="55"/>
      <c r="O44" s="54"/>
    </row>
    <row r="45" s="1" customFormat="1" ht="18" customHeight="1" spans="1:15">
      <c r="A45" s="36"/>
      <c r="B45" s="37">
        <f t="shared" ref="B38:B71" si="10">ROUND(G45/(1+E45),2)</f>
        <v>0</v>
      </c>
      <c r="C45" s="38"/>
      <c r="D45" s="39"/>
      <c r="E45" s="40"/>
      <c r="F45" s="42">
        <f t="shared" si="9"/>
        <v>0</v>
      </c>
      <c r="G45" s="28"/>
      <c r="H45" s="24">
        <v>43847</v>
      </c>
      <c r="I45" s="25">
        <v>-100000</v>
      </c>
      <c r="J45" s="51" t="s">
        <v>71</v>
      </c>
      <c r="K45" s="53" t="s">
        <v>72</v>
      </c>
      <c r="L45" s="54" t="s">
        <v>73</v>
      </c>
      <c r="M45" s="55"/>
      <c r="N45" s="55"/>
      <c r="O45" s="54"/>
    </row>
    <row r="46" s="1" customFormat="1" ht="18" customHeight="1" spans="1:15">
      <c r="A46" s="36"/>
      <c r="B46" s="37">
        <f t="shared" si="10"/>
        <v>0</v>
      </c>
      <c r="C46" s="38"/>
      <c r="D46" s="39"/>
      <c r="E46" s="40"/>
      <c r="F46" s="37">
        <f t="shared" si="9"/>
        <v>0</v>
      </c>
      <c r="G46" s="28"/>
      <c r="H46" s="24">
        <v>43850</v>
      </c>
      <c r="I46" s="25">
        <v>415472</v>
      </c>
      <c r="J46" s="51" t="s">
        <v>68</v>
      </c>
      <c r="K46" s="53" t="s">
        <v>78</v>
      </c>
      <c r="L46" s="54" t="s">
        <v>79</v>
      </c>
      <c r="M46" s="55"/>
      <c r="N46" s="55"/>
      <c r="O46" s="54"/>
    </row>
    <row r="47" s="1" customFormat="1" ht="18" customHeight="1" spans="1:15">
      <c r="A47" s="36"/>
      <c r="B47" s="37">
        <f t="shared" si="10"/>
        <v>0</v>
      </c>
      <c r="C47" s="38"/>
      <c r="D47" s="39"/>
      <c r="E47" s="40"/>
      <c r="F47" s="37">
        <f t="shared" si="9"/>
        <v>0</v>
      </c>
      <c r="G47" s="28"/>
      <c r="H47" s="24">
        <v>43849</v>
      </c>
      <c r="I47" s="25">
        <v>-415972</v>
      </c>
      <c r="J47" s="51" t="s">
        <v>71</v>
      </c>
      <c r="K47" s="53" t="s">
        <v>72</v>
      </c>
      <c r="L47" s="54" t="s">
        <v>73</v>
      </c>
      <c r="M47" s="55"/>
      <c r="N47" s="55"/>
      <c r="O47" s="54"/>
    </row>
    <row r="48" s="1" customFormat="1" ht="18" customHeight="1" spans="1:15">
      <c r="A48" s="36"/>
      <c r="B48" s="37">
        <f t="shared" si="10"/>
        <v>0</v>
      </c>
      <c r="C48" s="38"/>
      <c r="D48" s="39"/>
      <c r="E48" s="40"/>
      <c r="F48" s="37">
        <f t="shared" si="9"/>
        <v>0</v>
      </c>
      <c r="G48" s="28"/>
      <c r="H48" s="24">
        <v>43850</v>
      </c>
      <c r="I48" s="25">
        <v>245359</v>
      </c>
      <c r="J48" s="51" t="s">
        <v>68</v>
      </c>
      <c r="K48" s="53" t="s">
        <v>54</v>
      </c>
      <c r="L48" s="54" t="s">
        <v>80</v>
      </c>
      <c r="M48" s="55"/>
      <c r="N48" s="55"/>
      <c r="O48" s="54"/>
    </row>
    <row r="49" s="1" customFormat="1" ht="18" customHeight="1" spans="1:15">
      <c r="A49" s="36"/>
      <c r="B49" s="37">
        <f t="shared" si="10"/>
        <v>0</v>
      </c>
      <c r="C49" s="38"/>
      <c r="D49" s="39"/>
      <c r="E49" s="40"/>
      <c r="F49" s="37">
        <f t="shared" si="9"/>
        <v>0</v>
      </c>
      <c r="G49" s="28"/>
      <c r="H49" s="24">
        <v>43849</v>
      </c>
      <c r="I49" s="25">
        <v>-245359</v>
      </c>
      <c r="J49" s="51" t="s">
        <v>71</v>
      </c>
      <c r="K49" s="53" t="s">
        <v>72</v>
      </c>
      <c r="L49" s="54" t="s">
        <v>73</v>
      </c>
      <c r="M49" s="55"/>
      <c r="N49" s="55"/>
      <c r="O49" s="54"/>
    </row>
    <row r="50" s="1" customFormat="1" ht="18" customHeight="1" spans="1:15">
      <c r="A50" s="36"/>
      <c r="B50" s="37">
        <f t="shared" si="10"/>
        <v>0</v>
      </c>
      <c r="C50" s="38"/>
      <c r="D50" s="39"/>
      <c r="E50" s="40"/>
      <c r="F50" s="37">
        <f t="shared" si="9"/>
        <v>0</v>
      </c>
      <c r="G50" s="28"/>
      <c r="H50" s="24">
        <v>43851</v>
      </c>
      <c r="I50" s="25">
        <v>287991</v>
      </c>
      <c r="J50" s="51" t="s">
        <v>68</v>
      </c>
      <c r="K50" s="53" t="s">
        <v>65</v>
      </c>
      <c r="L50" s="54" t="s">
        <v>77</v>
      </c>
      <c r="M50" s="56" t="s">
        <v>176</v>
      </c>
      <c r="N50" s="55"/>
      <c r="O50" s="54"/>
    </row>
    <row r="51" s="1" customFormat="1" ht="18" customHeight="1" spans="1:15">
      <c r="A51" s="36"/>
      <c r="B51" s="37">
        <f t="shared" si="10"/>
        <v>0</v>
      </c>
      <c r="C51" s="38"/>
      <c r="D51" s="39"/>
      <c r="E51" s="40"/>
      <c r="F51" s="37">
        <f t="shared" si="9"/>
        <v>0</v>
      </c>
      <c r="G51" s="28"/>
      <c r="H51" s="24">
        <v>43850</v>
      </c>
      <c r="I51" s="25">
        <v>-287991</v>
      </c>
      <c r="J51" s="51" t="s">
        <v>71</v>
      </c>
      <c r="K51" s="53" t="s">
        <v>72</v>
      </c>
      <c r="L51" s="54" t="s">
        <v>73</v>
      </c>
      <c r="M51" s="55"/>
      <c r="N51" s="55"/>
      <c r="O51" s="54"/>
    </row>
    <row r="52" s="1" customFormat="1" ht="18" customHeight="1" spans="1:15">
      <c r="A52" s="36"/>
      <c r="B52" s="37">
        <f t="shared" si="10"/>
        <v>0</v>
      </c>
      <c r="C52" s="38"/>
      <c r="D52" s="39"/>
      <c r="E52" s="40"/>
      <c r="F52" s="37">
        <f t="shared" si="9"/>
        <v>0</v>
      </c>
      <c r="G52" s="28"/>
      <c r="H52" s="24">
        <v>43852</v>
      </c>
      <c r="I52" s="25">
        <v>78824</v>
      </c>
      <c r="J52" s="51" t="s">
        <v>68</v>
      </c>
      <c r="K52" s="53" t="s">
        <v>83</v>
      </c>
      <c r="L52" s="54" t="s">
        <v>63</v>
      </c>
      <c r="M52" s="55"/>
      <c r="N52" s="55"/>
      <c r="O52" s="54"/>
    </row>
    <row r="53" s="1" customFormat="1" ht="18" customHeight="1" spans="1:15">
      <c r="A53" s="36"/>
      <c r="B53" s="37">
        <f t="shared" si="10"/>
        <v>0</v>
      </c>
      <c r="C53" s="38"/>
      <c r="D53" s="39"/>
      <c r="E53" s="40"/>
      <c r="F53" s="37">
        <f t="shared" si="9"/>
        <v>0</v>
      </c>
      <c r="G53" s="28"/>
      <c r="H53" s="24">
        <v>43852</v>
      </c>
      <c r="I53" s="25">
        <v>70820</v>
      </c>
      <c r="J53" s="51" t="s">
        <v>68</v>
      </c>
      <c r="K53" s="53" t="s">
        <v>84</v>
      </c>
      <c r="L53" s="54" t="s">
        <v>63</v>
      </c>
      <c r="M53" s="55"/>
      <c r="N53" s="55"/>
      <c r="O53" s="54"/>
    </row>
    <row r="54" s="1" customFormat="1" ht="18" customHeight="1" spans="1:15">
      <c r="A54" s="36"/>
      <c r="B54" s="37">
        <f t="shared" si="10"/>
        <v>0</v>
      </c>
      <c r="C54" s="38"/>
      <c r="D54" s="39"/>
      <c r="E54" s="40"/>
      <c r="F54" s="37">
        <f t="shared" si="9"/>
        <v>0</v>
      </c>
      <c r="G54" s="28"/>
      <c r="H54" s="24">
        <v>43852</v>
      </c>
      <c r="I54" s="25">
        <v>223537</v>
      </c>
      <c r="J54" s="51" t="s">
        <v>68</v>
      </c>
      <c r="K54" s="53" t="s">
        <v>85</v>
      </c>
      <c r="L54" s="54" t="s">
        <v>63</v>
      </c>
      <c r="M54" s="55"/>
      <c r="N54" s="55"/>
      <c r="O54" s="54"/>
    </row>
    <row r="55" s="1" customFormat="1" ht="18" customHeight="1" spans="1:15">
      <c r="A55" s="36"/>
      <c r="B55" s="37">
        <f t="shared" si="10"/>
        <v>0</v>
      </c>
      <c r="C55" s="38"/>
      <c r="D55" s="39"/>
      <c r="E55" s="40"/>
      <c r="F55" s="37">
        <f t="shared" si="9"/>
        <v>0</v>
      </c>
      <c r="G55" s="28"/>
      <c r="H55" s="24">
        <v>43852</v>
      </c>
      <c r="I55" s="25">
        <v>247662</v>
      </c>
      <c r="J55" s="51" t="s">
        <v>68</v>
      </c>
      <c r="K55" s="53" t="s">
        <v>86</v>
      </c>
      <c r="L55" s="54" t="s">
        <v>87</v>
      </c>
      <c r="M55" s="55"/>
      <c r="N55" s="55"/>
      <c r="O55" s="54"/>
    </row>
    <row r="56" s="1" customFormat="1" ht="18" customHeight="1" spans="1:15">
      <c r="A56" s="36"/>
      <c r="B56" s="37">
        <f t="shared" si="10"/>
        <v>0</v>
      </c>
      <c r="C56" s="38"/>
      <c r="D56" s="39"/>
      <c r="E56" s="40"/>
      <c r="F56" s="37">
        <f t="shared" si="9"/>
        <v>0</v>
      </c>
      <c r="G56" s="28"/>
      <c r="H56" s="24">
        <v>43852</v>
      </c>
      <c r="I56" s="25">
        <v>100000</v>
      </c>
      <c r="J56" s="51" t="s">
        <v>68</v>
      </c>
      <c r="K56" s="53" t="s">
        <v>88</v>
      </c>
      <c r="L56" s="54" t="s">
        <v>89</v>
      </c>
      <c r="M56" s="55"/>
      <c r="N56" s="55"/>
      <c r="O56" s="54"/>
    </row>
    <row r="57" s="1" customFormat="1" ht="18" customHeight="1" spans="1:15">
      <c r="A57" s="36"/>
      <c r="B57" s="37">
        <f t="shared" si="10"/>
        <v>0</v>
      </c>
      <c r="C57" s="38"/>
      <c r="D57" s="39"/>
      <c r="E57" s="40"/>
      <c r="F57" s="37">
        <f t="shared" si="9"/>
        <v>0</v>
      </c>
      <c r="G57" s="28"/>
      <c r="H57" s="24">
        <v>43852</v>
      </c>
      <c r="I57" s="25">
        <v>54736</v>
      </c>
      <c r="J57" s="51" t="s">
        <v>68</v>
      </c>
      <c r="K57" s="53" t="s">
        <v>83</v>
      </c>
      <c r="L57" s="54" t="s">
        <v>63</v>
      </c>
      <c r="M57" s="55"/>
      <c r="N57" s="55"/>
      <c r="O57" s="54"/>
    </row>
    <row r="58" s="1" customFormat="1" ht="18" customHeight="1" spans="1:15">
      <c r="A58" s="36"/>
      <c r="B58" s="37">
        <f t="shared" si="10"/>
        <v>0</v>
      </c>
      <c r="C58" s="38"/>
      <c r="D58" s="39"/>
      <c r="E58" s="40"/>
      <c r="F58" s="37">
        <f t="shared" si="9"/>
        <v>0</v>
      </c>
      <c r="G58" s="28"/>
      <c r="H58" s="24">
        <v>43851</v>
      </c>
      <c r="I58" s="25">
        <v>-100000</v>
      </c>
      <c r="J58" s="51" t="s">
        <v>71</v>
      </c>
      <c r="K58" s="53" t="s">
        <v>72</v>
      </c>
      <c r="L58" s="54" t="s">
        <v>73</v>
      </c>
      <c r="M58" s="55"/>
      <c r="N58" s="55"/>
      <c r="O58" s="54"/>
    </row>
    <row r="59" s="1" customFormat="1" ht="18" customHeight="1" spans="1:15">
      <c r="A59" s="36"/>
      <c r="B59" s="37">
        <f t="shared" si="10"/>
        <v>0</v>
      </c>
      <c r="C59" s="38"/>
      <c r="D59" s="39"/>
      <c r="E59" s="40"/>
      <c r="F59" s="37">
        <f t="shared" si="9"/>
        <v>0</v>
      </c>
      <c r="G59" s="28"/>
      <c r="H59" s="24">
        <v>43851</v>
      </c>
      <c r="I59" s="25">
        <v>-276079</v>
      </c>
      <c r="J59" s="51" t="s">
        <v>71</v>
      </c>
      <c r="K59" s="53" t="s">
        <v>72</v>
      </c>
      <c r="L59" s="54" t="s">
        <v>73</v>
      </c>
      <c r="M59" s="55"/>
      <c r="N59" s="55"/>
      <c r="O59" s="54"/>
    </row>
    <row r="60" s="1" customFormat="1" ht="18" customHeight="1" spans="1:15">
      <c r="A60" s="36"/>
      <c r="B60" s="37">
        <f t="shared" si="10"/>
        <v>0</v>
      </c>
      <c r="C60" s="38"/>
      <c r="D60" s="39"/>
      <c r="E60" s="40"/>
      <c r="F60" s="37">
        <f t="shared" si="9"/>
        <v>0</v>
      </c>
      <c r="G60" s="28"/>
      <c r="H60" s="24">
        <v>43851</v>
      </c>
      <c r="I60" s="25">
        <v>-400000</v>
      </c>
      <c r="J60" s="51" t="s">
        <v>71</v>
      </c>
      <c r="K60" s="53" t="s">
        <v>72</v>
      </c>
      <c r="L60" s="54" t="s">
        <v>73</v>
      </c>
      <c r="M60" s="55"/>
      <c r="N60" s="55"/>
      <c r="O60" s="54"/>
    </row>
    <row r="61" s="1" customFormat="1" ht="18" customHeight="1" spans="1:15">
      <c r="A61" s="36">
        <v>43891</v>
      </c>
      <c r="B61" s="37">
        <f t="shared" si="10"/>
        <v>143384.73</v>
      </c>
      <c r="C61" s="38">
        <v>1</v>
      </c>
      <c r="D61" s="39" t="s">
        <v>34</v>
      </c>
      <c r="E61" s="40"/>
      <c r="F61" s="37">
        <f t="shared" si="9"/>
        <v>0</v>
      </c>
      <c r="G61" s="43">
        <v>143384.73</v>
      </c>
      <c r="H61" s="24"/>
      <c r="I61" s="25"/>
      <c r="J61" s="51"/>
      <c r="K61" s="53" t="s">
        <v>76</v>
      </c>
      <c r="L61" s="54" t="s">
        <v>90</v>
      </c>
      <c r="M61" s="55" t="s">
        <v>91</v>
      </c>
      <c r="N61" s="55"/>
      <c r="O61" s="54"/>
    </row>
    <row r="62" s="1" customFormat="1" ht="18" customHeight="1" spans="1:15">
      <c r="A62" s="44">
        <v>43891</v>
      </c>
      <c r="B62" s="37">
        <f t="shared" si="10"/>
        <v>132743.36</v>
      </c>
      <c r="C62" s="45">
        <v>2</v>
      </c>
      <c r="D62" s="46" t="s">
        <v>40</v>
      </c>
      <c r="E62" s="41">
        <v>0.13</v>
      </c>
      <c r="F62" s="37">
        <f t="shared" si="9"/>
        <v>17256.64</v>
      </c>
      <c r="G62" s="28">
        <f>100000+50000</f>
        <v>150000</v>
      </c>
      <c r="H62" s="47"/>
      <c r="I62" s="27"/>
      <c r="J62" s="57"/>
      <c r="K62" s="58" t="s">
        <v>54</v>
      </c>
      <c r="L62" s="54" t="s">
        <v>92</v>
      </c>
      <c r="M62" s="55"/>
      <c r="N62" s="55"/>
      <c r="O62" s="54"/>
    </row>
    <row r="63" s="1" customFormat="1" ht="18" customHeight="1" spans="1:15">
      <c r="A63" s="44">
        <v>43891</v>
      </c>
      <c r="B63" s="37">
        <f t="shared" si="10"/>
        <v>442883.5</v>
      </c>
      <c r="C63" s="45">
        <v>5</v>
      </c>
      <c r="D63" s="46" t="s">
        <v>40</v>
      </c>
      <c r="E63" s="41">
        <v>0.03</v>
      </c>
      <c r="F63" s="37">
        <f t="shared" si="9"/>
        <v>13286.5</v>
      </c>
      <c r="G63" s="28">
        <f>100000*4+56170</f>
        <v>456170</v>
      </c>
      <c r="H63" s="47"/>
      <c r="I63" s="27"/>
      <c r="J63" s="57"/>
      <c r="K63" s="58" t="s">
        <v>69</v>
      </c>
      <c r="L63" s="54" t="s">
        <v>93</v>
      </c>
      <c r="M63" s="55"/>
      <c r="N63" s="55" t="s">
        <v>94</v>
      </c>
      <c r="O63" s="54"/>
    </row>
    <row r="64" s="1" customFormat="1" ht="18" customHeight="1" spans="1:15">
      <c r="A64" s="44">
        <v>43891</v>
      </c>
      <c r="B64" s="37">
        <f t="shared" si="10"/>
        <v>960</v>
      </c>
      <c r="C64" s="45"/>
      <c r="D64" s="46" t="s">
        <v>95</v>
      </c>
      <c r="E64" s="41"/>
      <c r="F64" s="37">
        <f t="shared" si="9"/>
        <v>0</v>
      </c>
      <c r="G64" s="28">
        <f>200+248+200+312</f>
        <v>960</v>
      </c>
      <c r="H64" s="47"/>
      <c r="I64" s="27"/>
      <c r="J64" s="57"/>
      <c r="K64" s="58" t="s">
        <v>53</v>
      </c>
      <c r="L64" s="54"/>
      <c r="M64" s="55"/>
      <c r="N64" s="55"/>
      <c r="O64" s="54"/>
    </row>
    <row r="65" s="1" customFormat="1" ht="18" customHeight="1" spans="1:15">
      <c r="A65" s="44">
        <v>43891</v>
      </c>
      <c r="B65" s="37">
        <f t="shared" si="10"/>
        <v>6600</v>
      </c>
      <c r="C65" s="45">
        <v>1</v>
      </c>
      <c r="D65" s="46" t="s">
        <v>34</v>
      </c>
      <c r="E65" s="41"/>
      <c r="F65" s="37">
        <f t="shared" si="9"/>
        <v>0</v>
      </c>
      <c r="G65" s="28">
        <v>6600</v>
      </c>
      <c r="H65" s="47"/>
      <c r="I65" s="27"/>
      <c r="J65" s="57"/>
      <c r="K65" s="58" t="s">
        <v>96</v>
      </c>
      <c r="L65" s="54" t="s">
        <v>97</v>
      </c>
      <c r="M65" s="55"/>
      <c r="N65" s="55" t="s">
        <v>98</v>
      </c>
      <c r="O65" s="54"/>
    </row>
    <row r="66" s="1" customFormat="1" ht="18" customHeight="1" spans="1:15">
      <c r="A66" s="44">
        <v>43891</v>
      </c>
      <c r="B66" s="37">
        <f t="shared" si="10"/>
        <v>260000</v>
      </c>
      <c r="C66" s="45">
        <v>3</v>
      </c>
      <c r="D66" s="46" t="s">
        <v>34</v>
      </c>
      <c r="E66" s="41"/>
      <c r="F66" s="37">
        <f t="shared" si="9"/>
        <v>0</v>
      </c>
      <c r="G66" s="28">
        <v>260000</v>
      </c>
      <c r="H66" s="47"/>
      <c r="I66" s="27"/>
      <c r="J66" s="57"/>
      <c r="K66" s="58" t="s">
        <v>85</v>
      </c>
      <c r="L66" s="54" t="s">
        <v>99</v>
      </c>
      <c r="M66" s="55" t="s">
        <v>100</v>
      </c>
      <c r="N66" s="55" t="s">
        <v>101</v>
      </c>
      <c r="O66" s="54"/>
    </row>
    <row r="67" s="1" customFormat="1" ht="18" customHeight="1" spans="1:15">
      <c r="A67" s="44">
        <v>43891</v>
      </c>
      <c r="B67" s="37">
        <f t="shared" si="10"/>
        <v>291262.14</v>
      </c>
      <c r="C67" s="45">
        <v>1</v>
      </c>
      <c r="D67" s="46" t="s">
        <v>102</v>
      </c>
      <c r="E67" s="41">
        <v>0.03</v>
      </c>
      <c r="F67" s="37">
        <f t="shared" si="9"/>
        <v>8737.86</v>
      </c>
      <c r="G67" s="28">
        <v>300000</v>
      </c>
      <c r="H67" s="47"/>
      <c r="I67" s="27"/>
      <c r="J67" s="57"/>
      <c r="K67" s="58" t="s">
        <v>86</v>
      </c>
      <c r="L67" s="54" t="s">
        <v>103</v>
      </c>
      <c r="M67" s="55" t="s">
        <v>94</v>
      </c>
      <c r="N67" s="55"/>
      <c r="O67" s="54"/>
    </row>
    <row r="68" s="2" customFormat="1" ht="18" customHeight="1" spans="1:15">
      <c r="A68" s="59">
        <v>43891</v>
      </c>
      <c r="B68" s="43">
        <f t="shared" si="10"/>
        <v>70620</v>
      </c>
      <c r="C68" s="60">
        <v>1</v>
      </c>
      <c r="D68" s="61" t="s">
        <v>34</v>
      </c>
      <c r="E68" s="62"/>
      <c r="F68" s="43">
        <f t="shared" si="9"/>
        <v>0</v>
      </c>
      <c r="G68" s="43">
        <v>70620</v>
      </c>
      <c r="H68" s="63"/>
      <c r="I68" s="90"/>
      <c r="J68" s="91"/>
      <c r="K68" s="92" t="s">
        <v>84</v>
      </c>
      <c r="L68" s="93" t="s">
        <v>63</v>
      </c>
      <c r="M68" s="56" t="s">
        <v>104</v>
      </c>
      <c r="N68" s="94" t="s">
        <v>105</v>
      </c>
      <c r="O68" s="93"/>
    </row>
    <row r="69" s="1" customFormat="1" ht="18" customHeight="1" spans="1:15">
      <c r="A69" s="44">
        <v>43891</v>
      </c>
      <c r="B69" s="37">
        <f t="shared" si="10"/>
        <v>137284</v>
      </c>
      <c r="C69" s="45">
        <v>2</v>
      </c>
      <c r="D69" s="46" t="s">
        <v>34</v>
      </c>
      <c r="E69" s="41"/>
      <c r="F69" s="37">
        <f t="shared" si="9"/>
        <v>0</v>
      </c>
      <c r="G69" s="28">
        <v>137284</v>
      </c>
      <c r="H69" s="47"/>
      <c r="I69" s="27"/>
      <c r="J69" s="57"/>
      <c r="K69" s="58" t="s">
        <v>83</v>
      </c>
      <c r="L69" s="54" t="s">
        <v>63</v>
      </c>
      <c r="M69" s="55" t="s">
        <v>100</v>
      </c>
      <c r="N69" s="55" t="s">
        <v>105</v>
      </c>
      <c r="O69" s="54"/>
    </row>
    <row r="70" s="1" customFormat="1" ht="18" customHeight="1" spans="1:15">
      <c r="A70" s="44">
        <v>43891</v>
      </c>
      <c r="B70" s="37">
        <f t="shared" si="10"/>
        <v>403370.87</v>
      </c>
      <c r="C70" s="45">
        <v>1</v>
      </c>
      <c r="D70" s="46" t="s">
        <v>102</v>
      </c>
      <c r="E70" s="41">
        <v>0.03</v>
      </c>
      <c r="F70" s="37">
        <f t="shared" si="9"/>
        <v>12101.13</v>
      </c>
      <c r="G70" s="28">
        <v>415472</v>
      </c>
      <c r="H70" s="47"/>
      <c r="I70" s="27"/>
      <c r="J70" s="57"/>
      <c r="K70" s="58" t="s">
        <v>78</v>
      </c>
      <c r="L70" s="54" t="s">
        <v>90</v>
      </c>
      <c r="M70" s="55" t="s">
        <v>106</v>
      </c>
      <c r="N70" s="55"/>
      <c r="O70" s="54"/>
    </row>
    <row r="71" s="3" customFormat="1" ht="18" customHeight="1" spans="1:15">
      <c r="A71" s="64">
        <v>43891</v>
      </c>
      <c r="B71" s="65">
        <f t="shared" si="10"/>
        <v>245</v>
      </c>
      <c r="C71" s="66">
        <v>1</v>
      </c>
      <c r="D71" s="67" t="s">
        <v>95</v>
      </c>
      <c r="E71" s="68"/>
      <c r="F71" s="65">
        <f t="shared" si="9"/>
        <v>0</v>
      </c>
      <c r="G71" s="69">
        <v>245</v>
      </c>
      <c r="H71" s="70"/>
      <c r="I71" s="95"/>
      <c r="J71" s="96"/>
      <c r="K71" s="97" t="s">
        <v>53</v>
      </c>
      <c r="L71" s="98"/>
      <c r="M71" s="99"/>
      <c r="N71" s="99"/>
      <c r="O71" s="98"/>
    </row>
    <row r="72" s="4" customFormat="1" ht="18" customHeight="1" spans="1:16">
      <c r="A72" s="71"/>
      <c r="B72" s="42">
        <f t="shared" ref="B72:B114" si="11">ROUND(G72/(1+E72),2)</f>
        <v>0</v>
      </c>
      <c r="C72" s="72"/>
      <c r="D72" s="37"/>
      <c r="E72" s="41"/>
      <c r="F72" s="42">
        <f t="shared" ref="F72:F107" si="12">ROUND(G72/(1+E72)*E72,2)</f>
        <v>0</v>
      </c>
      <c r="G72" s="73"/>
      <c r="H72" s="47"/>
      <c r="I72" s="27"/>
      <c r="J72" s="55"/>
      <c r="K72" s="58" t="s">
        <v>107</v>
      </c>
      <c r="L72" s="55" t="s">
        <v>108</v>
      </c>
      <c r="M72" s="54"/>
      <c r="N72" s="55" t="s">
        <v>109</v>
      </c>
      <c r="O72" s="54" t="s">
        <v>110</v>
      </c>
      <c r="P72" s="4" t="s">
        <v>111</v>
      </c>
    </row>
    <row r="73" s="1" customFormat="1" ht="18" customHeight="1" spans="1:15">
      <c r="A73" s="36">
        <v>43941</v>
      </c>
      <c r="B73" s="42">
        <f t="shared" si="11"/>
        <v>2389.38</v>
      </c>
      <c r="C73" s="72">
        <v>1</v>
      </c>
      <c r="D73" s="37" t="s">
        <v>40</v>
      </c>
      <c r="E73" s="41">
        <v>0.13</v>
      </c>
      <c r="F73" s="42">
        <f t="shared" si="12"/>
        <v>310.62</v>
      </c>
      <c r="G73" s="73">
        <f>2700</f>
        <v>2700</v>
      </c>
      <c r="H73" s="47"/>
      <c r="I73" s="27"/>
      <c r="J73" s="55"/>
      <c r="K73" s="58" t="s">
        <v>112</v>
      </c>
      <c r="L73" s="55" t="s">
        <v>113</v>
      </c>
      <c r="M73" s="54"/>
      <c r="N73" s="55"/>
      <c r="O73" s="54"/>
    </row>
    <row r="74" s="1" customFormat="1" ht="18" customHeight="1" spans="1:15">
      <c r="A74" s="74">
        <v>43941</v>
      </c>
      <c r="B74" s="42">
        <f t="shared" si="11"/>
        <v>2200</v>
      </c>
      <c r="C74" s="38">
        <v>1</v>
      </c>
      <c r="D74" s="46" t="s">
        <v>34</v>
      </c>
      <c r="E74" s="41"/>
      <c r="F74" s="42">
        <f t="shared" si="12"/>
        <v>0</v>
      </c>
      <c r="G74" s="73">
        <v>2200</v>
      </c>
      <c r="H74" s="47"/>
      <c r="I74" s="37"/>
      <c r="J74" s="55"/>
      <c r="K74" s="58" t="s">
        <v>114</v>
      </c>
      <c r="L74" s="54" t="s">
        <v>115</v>
      </c>
      <c r="M74" s="55"/>
      <c r="N74" s="55"/>
      <c r="O74" s="54"/>
    </row>
    <row r="75" s="1" customFormat="1" ht="18" customHeight="1" spans="1:15">
      <c r="A75" s="75">
        <v>43941</v>
      </c>
      <c r="B75" s="37">
        <f t="shared" si="11"/>
        <v>15346.53</v>
      </c>
      <c r="C75" s="38">
        <v>1</v>
      </c>
      <c r="D75" s="39" t="s">
        <v>40</v>
      </c>
      <c r="E75" s="41">
        <v>0.01</v>
      </c>
      <c r="F75" s="42">
        <f t="shared" si="12"/>
        <v>153.47</v>
      </c>
      <c r="G75" s="73">
        <v>15500</v>
      </c>
      <c r="H75" s="47"/>
      <c r="I75" s="37"/>
      <c r="J75" s="55" t="s">
        <v>116</v>
      </c>
      <c r="K75" s="58" t="s">
        <v>117</v>
      </c>
      <c r="L75" s="54" t="s">
        <v>56</v>
      </c>
      <c r="M75" s="55"/>
      <c r="N75" s="55"/>
      <c r="O75" s="54"/>
    </row>
    <row r="76" s="1" customFormat="1" ht="18" customHeight="1" spans="1:15">
      <c r="A76" s="36">
        <v>43941</v>
      </c>
      <c r="B76" s="76">
        <f t="shared" si="11"/>
        <v>2500</v>
      </c>
      <c r="C76" s="77">
        <v>5</v>
      </c>
      <c r="D76" s="78" t="s">
        <v>34</v>
      </c>
      <c r="E76" s="79"/>
      <c r="F76" s="42">
        <f t="shared" si="12"/>
        <v>0</v>
      </c>
      <c r="G76" s="28">
        <f>200+600+900+600+200</f>
        <v>2500</v>
      </c>
      <c r="H76" s="47"/>
      <c r="I76" s="37"/>
      <c r="J76" s="55"/>
      <c r="K76" s="58" t="s">
        <v>118</v>
      </c>
      <c r="L76" s="54" t="s">
        <v>119</v>
      </c>
      <c r="M76" s="55" t="s">
        <v>120</v>
      </c>
      <c r="N76" s="55"/>
      <c r="O76" s="54"/>
    </row>
    <row r="77" s="1" customFormat="1" ht="18" customHeight="1" spans="1:15">
      <c r="A77" s="36">
        <v>44002</v>
      </c>
      <c r="B77" s="37">
        <f t="shared" si="11"/>
        <v>720</v>
      </c>
      <c r="C77" s="38">
        <v>1</v>
      </c>
      <c r="D77" s="78" t="s">
        <v>34</v>
      </c>
      <c r="E77" s="41"/>
      <c r="F77" s="42">
        <f t="shared" si="12"/>
        <v>0</v>
      </c>
      <c r="G77" s="28">
        <v>720</v>
      </c>
      <c r="H77" s="47"/>
      <c r="I77" s="37"/>
      <c r="J77" s="55"/>
      <c r="K77" s="58" t="s">
        <v>121</v>
      </c>
      <c r="L77" s="53" t="s">
        <v>122</v>
      </c>
      <c r="M77" s="55"/>
      <c r="N77" s="55"/>
      <c r="O77" s="54"/>
    </row>
    <row r="78" s="1" customFormat="1" ht="18" customHeight="1" spans="1:15">
      <c r="A78" s="36">
        <v>44002</v>
      </c>
      <c r="B78" s="37">
        <f t="shared" si="11"/>
        <v>6440</v>
      </c>
      <c r="C78" s="38">
        <v>10</v>
      </c>
      <c r="D78" s="78" t="s">
        <v>34</v>
      </c>
      <c r="E78" s="41"/>
      <c r="F78" s="42">
        <f t="shared" si="12"/>
        <v>0</v>
      </c>
      <c r="G78" s="28">
        <f>600+570+600+550+1100+600+1000+580+600+240</f>
        <v>6440</v>
      </c>
      <c r="H78" s="47"/>
      <c r="I78" s="37"/>
      <c r="J78" s="55"/>
      <c r="K78" s="53" t="s">
        <v>118</v>
      </c>
      <c r="L78" s="54" t="s">
        <v>123</v>
      </c>
      <c r="M78" s="55" t="s">
        <v>120</v>
      </c>
      <c r="N78" s="55"/>
      <c r="O78" s="54"/>
    </row>
    <row r="79" s="1" customFormat="1" ht="18" customHeight="1" spans="1:15">
      <c r="A79" s="36">
        <v>44002</v>
      </c>
      <c r="B79" s="37">
        <f t="shared" si="11"/>
        <v>2105.01</v>
      </c>
      <c r="C79" s="38">
        <v>12</v>
      </c>
      <c r="D79" s="78" t="s">
        <v>34</v>
      </c>
      <c r="E79" s="41"/>
      <c r="F79" s="42">
        <f t="shared" si="12"/>
        <v>0</v>
      </c>
      <c r="G79" s="28">
        <f>150+170+190+145+175+150+160+150+170+245.01+200+200</f>
        <v>2105.01</v>
      </c>
      <c r="H79" s="47"/>
      <c r="I79" s="37"/>
      <c r="J79" s="55"/>
      <c r="K79" s="53" t="s">
        <v>118</v>
      </c>
      <c r="L79" s="54" t="s">
        <v>124</v>
      </c>
      <c r="M79" s="55" t="s">
        <v>120</v>
      </c>
      <c r="N79" s="55"/>
      <c r="O79" s="54"/>
    </row>
    <row r="80" s="1" customFormat="1" ht="18" customHeight="1" spans="1:15">
      <c r="A80" s="36">
        <v>44002</v>
      </c>
      <c r="B80" s="37">
        <f t="shared" si="11"/>
        <v>4500</v>
      </c>
      <c r="C80" s="38">
        <v>1</v>
      </c>
      <c r="D80" s="78" t="s">
        <v>34</v>
      </c>
      <c r="E80" s="41"/>
      <c r="F80" s="42">
        <f t="shared" si="12"/>
        <v>0</v>
      </c>
      <c r="G80" s="28">
        <v>4500</v>
      </c>
      <c r="H80" s="47"/>
      <c r="I80" s="37"/>
      <c r="J80" s="55"/>
      <c r="K80" s="53" t="s">
        <v>125</v>
      </c>
      <c r="L80" s="54" t="s">
        <v>126</v>
      </c>
      <c r="M80" s="55"/>
      <c r="N80" s="55"/>
      <c r="O80" s="54"/>
    </row>
    <row r="81" s="1" customFormat="1" ht="18" customHeight="1" spans="1:15">
      <c r="A81" s="36">
        <v>44002</v>
      </c>
      <c r="B81" s="37">
        <f t="shared" si="11"/>
        <v>876</v>
      </c>
      <c r="C81" s="38">
        <v>1</v>
      </c>
      <c r="D81" s="78" t="s">
        <v>34</v>
      </c>
      <c r="E81" s="41"/>
      <c r="F81" s="42">
        <f t="shared" si="12"/>
        <v>0</v>
      </c>
      <c r="G81" s="28">
        <v>876</v>
      </c>
      <c r="H81" s="47"/>
      <c r="I81" s="37"/>
      <c r="J81" s="55"/>
      <c r="K81" s="53" t="s">
        <v>127</v>
      </c>
      <c r="L81" s="54" t="s">
        <v>128</v>
      </c>
      <c r="M81" s="55"/>
      <c r="N81" s="55"/>
      <c r="O81" s="54"/>
    </row>
    <row r="82" s="1" customFormat="1" ht="18" customHeight="1" spans="1:15">
      <c r="A82" s="36">
        <v>44002</v>
      </c>
      <c r="B82" s="37">
        <f t="shared" si="11"/>
        <v>480</v>
      </c>
      <c r="C82" s="38">
        <v>1</v>
      </c>
      <c r="D82" s="78" t="s">
        <v>34</v>
      </c>
      <c r="E82" s="41"/>
      <c r="F82" s="42">
        <f t="shared" si="12"/>
        <v>0</v>
      </c>
      <c r="G82" s="28">
        <v>480</v>
      </c>
      <c r="H82" s="47"/>
      <c r="I82" s="37"/>
      <c r="J82" s="55"/>
      <c r="K82" s="53" t="s">
        <v>129</v>
      </c>
      <c r="L82" s="54" t="s">
        <v>130</v>
      </c>
      <c r="M82" s="55"/>
      <c r="N82" s="55"/>
      <c r="O82" s="54"/>
    </row>
    <row r="83" s="1" customFormat="1" ht="18" customHeight="1" spans="1:15">
      <c r="A83" s="36">
        <v>44002</v>
      </c>
      <c r="B83" s="37">
        <f t="shared" si="11"/>
        <v>40500</v>
      </c>
      <c r="C83" s="38">
        <v>1</v>
      </c>
      <c r="D83" s="78" t="s">
        <v>34</v>
      </c>
      <c r="E83" s="41"/>
      <c r="F83" s="42">
        <f t="shared" si="12"/>
        <v>0</v>
      </c>
      <c r="G83" s="28">
        <v>40500</v>
      </c>
      <c r="H83" s="47"/>
      <c r="I83" s="37"/>
      <c r="J83" s="55"/>
      <c r="K83" s="53" t="s">
        <v>83</v>
      </c>
      <c r="L83" s="54" t="s">
        <v>63</v>
      </c>
      <c r="M83" s="55" t="s">
        <v>131</v>
      </c>
      <c r="N83" s="55"/>
      <c r="O83" s="54"/>
    </row>
    <row r="84" s="1" customFormat="1" ht="18" customHeight="1" spans="1:15">
      <c r="A84" s="36">
        <v>44002</v>
      </c>
      <c r="B84" s="37">
        <f t="shared" si="11"/>
        <v>50000</v>
      </c>
      <c r="C84" s="38"/>
      <c r="D84" s="78" t="s">
        <v>34</v>
      </c>
      <c r="E84" s="41"/>
      <c r="F84" s="42">
        <f t="shared" si="12"/>
        <v>0</v>
      </c>
      <c r="G84" s="28">
        <v>50000</v>
      </c>
      <c r="H84" s="47"/>
      <c r="I84" s="37"/>
      <c r="J84" s="55"/>
      <c r="K84" s="100" t="s">
        <v>84</v>
      </c>
      <c r="L84" s="54"/>
      <c r="M84" s="56" t="s">
        <v>104</v>
      </c>
      <c r="N84" s="55"/>
      <c r="O84" s="54"/>
    </row>
    <row r="85" s="1" customFormat="1" ht="18" customHeight="1" spans="1:15">
      <c r="A85" s="36">
        <v>44002</v>
      </c>
      <c r="B85" s="37">
        <f t="shared" si="11"/>
        <v>16955</v>
      </c>
      <c r="C85" s="38"/>
      <c r="D85" s="78" t="s">
        <v>34</v>
      </c>
      <c r="E85" s="41"/>
      <c r="F85" s="42">
        <f t="shared" si="12"/>
        <v>0</v>
      </c>
      <c r="G85" s="28">
        <v>16955</v>
      </c>
      <c r="H85" s="47"/>
      <c r="I85" s="37"/>
      <c r="J85" s="55"/>
      <c r="K85" s="100" t="s">
        <v>118</v>
      </c>
      <c r="L85" s="54"/>
      <c r="M85" s="55" t="s">
        <v>120</v>
      </c>
      <c r="N85" s="55"/>
      <c r="O85" s="54"/>
    </row>
    <row r="86" s="1" customFormat="1" ht="18" customHeight="1" spans="1:15">
      <c r="A86" s="36">
        <v>44002</v>
      </c>
      <c r="B86" s="37">
        <f t="shared" si="11"/>
        <v>3960.4</v>
      </c>
      <c r="C86" s="38"/>
      <c r="D86" s="78" t="s">
        <v>40</v>
      </c>
      <c r="E86" s="41">
        <v>0.01</v>
      </c>
      <c r="F86" s="42">
        <f t="shared" si="12"/>
        <v>39.6</v>
      </c>
      <c r="G86" s="28">
        <v>4000</v>
      </c>
      <c r="H86" s="47"/>
      <c r="I86" s="37"/>
      <c r="J86" s="55"/>
      <c r="K86" s="100" t="s">
        <v>121</v>
      </c>
      <c r="L86" s="54"/>
      <c r="M86" s="55"/>
      <c r="N86" s="55"/>
      <c r="O86" s="54"/>
    </row>
    <row r="87" s="1" customFormat="1" ht="18" customHeight="1" spans="1:19">
      <c r="A87" s="36">
        <v>44002</v>
      </c>
      <c r="B87" s="37">
        <f t="shared" si="11"/>
        <v>1120</v>
      </c>
      <c r="C87" s="38"/>
      <c r="D87" s="78" t="s">
        <v>34</v>
      </c>
      <c r="E87" s="41"/>
      <c r="F87" s="42">
        <f t="shared" si="12"/>
        <v>0</v>
      </c>
      <c r="G87" s="28">
        <v>1120</v>
      </c>
      <c r="H87" s="47"/>
      <c r="I87" s="25"/>
      <c r="J87" s="51"/>
      <c r="K87" s="100" t="s">
        <v>118</v>
      </c>
      <c r="L87" s="54"/>
      <c r="M87" s="55" t="s">
        <v>120</v>
      </c>
      <c r="N87" s="55"/>
      <c r="O87" s="54"/>
      <c r="S87" s="1" t="s">
        <v>116</v>
      </c>
    </row>
    <row r="88" s="1" customFormat="1" ht="18" customHeight="1" spans="1:15">
      <c r="A88" s="36">
        <v>44063</v>
      </c>
      <c r="B88" s="37">
        <f t="shared" si="11"/>
        <v>595</v>
      </c>
      <c r="C88" s="38"/>
      <c r="D88" s="78" t="s">
        <v>34</v>
      </c>
      <c r="E88" s="41"/>
      <c r="F88" s="42">
        <f t="shared" si="12"/>
        <v>0</v>
      </c>
      <c r="G88" s="28">
        <v>595</v>
      </c>
      <c r="H88" s="47"/>
      <c r="I88" s="25"/>
      <c r="J88" s="51"/>
      <c r="K88" s="53" t="s">
        <v>72</v>
      </c>
      <c r="L88" s="53" t="s">
        <v>134</v>
      </c>
      <c r="M88" s="55"/>
      <c r="N88" s="55"/>
      <c r="O88" s="54"/>
    </row>
    <row r="89" s="1" customFormat="1" ht="18" customHeight="1" spans="1:15">
      <c r="A89" s="36">
        <v>44063</v>
      </c>
      <c r="B89" s="37">
        <f t="shared" si="11"/>
        <v>23440</v>
      </c>
      <c r="C89" s="38"/>
      <c r="D89" s="78" t="s">
        <v>34</v>
      </c>
      <c r="E89" s="41"/>
      <c r="F89" s="42">
        <f t="shared" si="12"/>
        <v>0</v>
      </c>
      <c r="G89" s="28">
        <v>23440</v>
      </c>
      <c r="H89" s="47"/>
      <c r="I89" s="25"/>
      <c r="J89" s="51"/>
      <c r="K89" s="53" t="s">
        <v>118</v>
      </c>
      <c r="L89" s="53" t="s">
        <v>55</v>
      </c>
      <c r="M89" s="55" t="s">
        <v>120</v>
      </c>
      <c r="N89" s="55"/>
      <c r="O89" s="54"/>
    </row>
    <row r="90" s="1" customFormat="1" ht="18" customHeight="1" spans="1:15">
      <c r="A90" s="36">
        <v>44063</v>
      </c>
      <c r="B90" s="37">
        <f t="shared" si="11"/>
        <v>560</v>
      </c>
      <c r="C90" s="38"/>
      <c r="D90" s="78" t="s">
        <v>34</v>
      </c>
      <c r="E90" s="41"/>
      <c r="F90" s="42">
        <f t="shared" si="12"/>
        <v>0</v>
      </c>
      <c r="G90" s="28">
        <v>560</v>
      </c>
      <c r="H90" s="47"/>
      <c r="I90" s="25"/>
      <c r="J90" s="51"/>
      <c r="K90" s="53" t="s">
        <v>72</v>
      </c>
      <c r="L90" s="58" t="s">
        <v>134</v>
      </c>
      <c r="M90" s="55"/>
      <c r="N90" s="55"/>
      <c r="O90" s="54"/>
    </row>
    <row r="91" s="1" customFormat="1" ht="18" customHeight="1" spans="1:15">
      <c r="A91" s="80">
        <v>44094</v>
      </c>
      <c r="B91" s="37">
        <f t="shared" si="11"/>
        <v>380</v>
      </c>
      <c r="C91" s="81">
        <v>1</v>
      </c>
      <c r="D91" s="78" t="s">
        <v>34</v>
      </c>
      <c r="E91" s="41"/>
      <c r="F91" s="42">
        <f t="shared" si="12"/>
        <v>0</v>
      </c>
      <c r="G91" s="73">
        <v>380</v>
      </c>
      <c r="H91" s="47"/>
      <c r="I91" s="25"/>
      <c r="J91" s="51"/>
      <c r="K91" s="53" t="s">
        <v>72</v>
      </c>
      <c r="L91" s="58" t="s">
        <v>134</v>
      </c>
      <c r="M91" s="55" t="s">
        <v>135</v>
      </c>
      <c r="N91" s="55"/>
      <c r="O91" s="54"/>
    </row>
    <row r="92" s="1" customFormat="1" ht="18" customHeight="1" spans="1:15">
      <c r="A92" s="80">
        <v>44094</v>
      </c>
      <c r="B92" s="37">
        <f t="shared" si="11"/>
        <v>370</v>
      </c>
      <c r="C92" s="81"/>
      <c r="D92" s="78" t="s">
        <v>34</v>
      </c>
      <c r="E92" s="41"/>
      <c r="F92" s="42">
        <f t="shared" si="12"/>
        <v>0</v>
      </c>
      <c r="G92" s="73">
        <v>370</v>
      </c>
      <c r="H92" s="47"/>
      <c r="I92" s="25"/>
      <c r="J92" s="51"/>
      <c r="K92" s="53" t="s">
        <v>72</v>
      </c>
      <c r="L92" s="58" t="s">
        <v>134</v>
      </c>
      <c r="M92" s="55" t="s">
        <v>136</v>
      </c>
      <c r="N92" s="55"/>
      <c r="O92" s="54"/>
    </row>
    <row r="93" s="1" customFormat="1" ht="18" customHeight="1" spans="1:15">
      <c r="A93" s="80">
        <v>44094</v>
      </c>
      <c r="B93" s="37">
        <f t="shared" si="11"/>
        <v>37640</v>
      </c>
      <c r="C93" s="81">
        <v>8</v>
      </c>
      <c r="D93" s="78" t="s">
        <v>34</v>
      </c>
      <c r="E93" s="41"/>
      <c r="F93" s="42">
        <f t="shared" si="12"/>
        <v>0</v>
      </c>
      <c r="G93" s="73">
        <v>37640</v>
      </c>
      <c r="H93" s="47"/>
      <c r="I93" s="25"/>
      <c r="J93" s="51"/>
      <c r="K93" s="100" t="s">
        <v>118</v>
      </c>
      <c r="L93" s="54"/>
      <c r="M93" s="55" t="s">
        <v>120</v>
      </c>
      <c r="N93" s="55"/>
      <c r="O93" s="54"/>
    </row>
    <row r="94" s="1" customFormat="1" ht="18" customHeight="1" spans="1:15">
      <c r="A94" s="80">
        <v>44094</v>
      </c>
      <c r="B94" s="37">
        <f t="shared" si="11"/>
        <v>200</v>
      </c>
      <c r="C94" s="81"/>
      <c r="D94" s="78" t="s">
        <v>34</v>
      </c>
      <c r="E94" s="41"/>
      <c r="F94" s="42">
        <f t="shared" si="12"/>
        <v>0</v>
      </c>
      <c r="G94" s="73">
        <v>200</v>
      </c>
      <c r="H94" s="47"/>
      <c r="I94" s="25"/>
      <c r="J94" s="51"/>
      <c r="K94" s="53" t="s">
        <v>72</v>
      </c>
      <c r="L94" s="58" t="s">
        <v>134</v>
      </c>
      <c r="M94" s="55" t="s">
        <v>137</v>
      </c>
      <c r="N94" s="55"/>
      <c r="O94" s="54"/>
    </row>
    <row r="95" s="1" customFormat="1" ht="18" customHeight="1" spans="1:15">
      <c r="A95" s="80">
        <v>44094</v>
      </c>
      <c r="B95" s="37">
        <f t="shared" si="11"/>
        <v>88495.58</v>
      </c>
      <c r="C95" s="81">
        <v>1</v>
      </c>
      <c r="D95" s="78" t="s">
        <v>40</v>
      </c>
      <c r="E95" s="41">
        <v>0.13</v>
      </c>
      <c r="F95" s="42">
        <f t="shared" si="12"/>
        <v>11504.42</v>
      </c>
      <c r="G95" s="73">
        <v>100000</v>
      </c>
      <c r="H95" s="82"/>
      <c r="I95" s="37"/>
      <c r="J95" s="55"/>
      <c r="K95" s="100" t="s">
        <v>138</v>
      </c>
      <c r="L95" s="54" t="s">
        <v>89</v>
      </c>
      <c r="M95" s="55" t="s">
        <v>139</v>
      </c>
      <c r="N95" s="55"/>
      <c r="O95" s="54"/>
    </row>
    <row r="96" s="1" customFormat="1" ht="18" customHeight="1" spans="1:15">
      <c r="A96" s="80">
        <v>44094</v>
      </c>
      <c r="B96" s="37">
        <f t="shared" si="11"/>
        <v>47530</v>
      </c>
      <c r="C96" s="81">
        <v>10</v>
      </c>
      <c r="D96" s="78" t="s">
        <v>34</v>
      </c>
      <c r="E96" s="41"/>
      <c r="F96" s="42">
        <f t="shared" si="12"/>
        <v>0</v>
      </c>
      <c r="G96" s="73">
        <f>5000+5000+5000+5000+5000+5000+5000+5000+2530+5000</f>
        <v>47530</v>
      </c>
      <c r="H96" s="47"/>
      <c r="I96" s="25"/>
      <c r="J96" s="51"/>
      <c r="K96" s="100" t="s">
        <v>140</v>
      </c>
      <c r="L96" s="54" t="s">
        <v>55</v>
      </c>
      <c r="M96" s="55"/>
      <c r="N96" s="55"/>
      <c r="O96" s="54" t="s">
        <v>98</v>
      </c>
    </row>
    <row r="97" s="1" customFormat="1" ht="18" customHeight="1" spans="1:15">
      <c r="A97" s="80">
        <v>44124</v>
      </c>
      <c r="B97" s="37">
        <f t="shared" si="11"/>
        <v>150000</v>
      </c>
      <c r="C97" s="81"/>
      <c r="D97" s="78" t="s">
        <v>34</v>
      </c>
      <c r="E97" s="41"/>
      <c r="F97" s="42">
        <f t="shared" si="12"/>
        <v>0</v>
      </c>
      <c r="G97" s="73">
        <f>50000+100000</f>
        <v>150000</v>
      </c>
      <c r="H97" s="47"/>
      <c r="I97" s="25"/>
      <c r="J97" s="51"/>
      <c r="K97" s="53" t="s">
        <v>84</v>
      </c>
      <c r="L97" s="58" t="s">
        <v>63</v>
      </c>
      <c r="M97" s="56" t="s">
        <v>104</v>
      </c>
      <c r="N97" s="55"/>
      <c r="O97" s="54"/>
    </row>
    <row r="98" s="1" customFormat="1" ht="18" customHeight="1" spans="1:15">
      <c r="A98" s="80">
        <v>44124</v>
      </c>
      <c r="B98" s="37">
        <f t="shared" si="11"/>
        <v>198019.8</v>
      </c>
      <c r="C98" s="81">
        <v>1</v>
      </c>
      <c r="D98" s="78" t="s">
        <v>40</v>
      </c>
      <c r="E98" s="41">
        <v>0.01</v>
      </c>
      <c r="F98" s="42">
        <f t="shared" si="12"/>
        <v>1980.2</v>
      </c>
      <c r="G98" s="73">
        <v>200000</v>
      </c>
      <c r="H98" s="47"/>
      <c r="I98" s="25"/>
      <c r="J98" s="51"/>
      <c r="K98" s="53" t="s">
        <v>65</v>
      </c>
      <c r="L98" s="58" t="s">
        <v>66</v>
      </c>
      <c r="M98" s="56" t="s">
        <v>176</v>
      </c>
      <c r="N98" s="55"/>
      <c r="O98" s="54"/>
    </row>
    <row r="99" s="1" customFormat="1" ht="18" customHeight="1" spans="1:15">
      <c r="A99" s="80">
        <v>44124</v>
      </c>
      <c r="B99" s="37">
        <f t="shared" si="11"/>
        <v>178600</v>
      </c>
      <c r="C99" s="81"/>
      <c r="D99" s="78"/>
      <c r="E99" s="41"/>
      <c r="F99" s="42">
        <f t="shared" si="12"/>
        <v>0</v>
      </c>
      <c r="G99" s="73">
        <f>100000+78600</f>
        <v>178600</v>
      </c>
      <c r="H99" s="47"/>
      <c r="I99" s="25"/>
      <c r="J99" s="51"/>
      <c r="K99" s="53" t="s">
        <v>85</v>
      </c>
      <c r="L99" s="58" t="s">
        <v>99</v>
      </c>
      <c r="M99" s="55"/>
      <c r="N99" s="55"/>
      <c r="O99" s="54"/>
    </row>
    <row r="100" s="1" customFormat="1" ht="18" customHeight="1" spans="1:15">
      <c r="A100" s="80">
        <v>44124</v>
      </c>
      <c r="B100" s="37">
        <f t="shared" si="11"/>
        <v>32000</v>
      </c>
      <c r="C100" s="81"/>
      <c r="D100" s="78"/>
      <c r="E100" s="41"/>
      <c r="F100" s="42">
        <f t="shared" si="12"/>
        <v>0</v>
      </c>
      <c r="G100" s="73">
        <v>32000</v>
      </c>
      <c r="H100" s="47"/>
      <c r="I100" s="25"/>
      <c r="J100" s="51"/>
      <c r="K100" s="53" t="s">
        <v>141</v>
      </c>
      <c r="L100" s="58" t="s">
        <v>142</v>
      </c>
      <c r="M100" s="55"/>
      <c r="N100" s="55"/>
      <c r="O100" s="54"/>
    </row>
    <row r="101" s="1" customFormat="1" ht="18" customHeight="1" spans="1:15">
      <c r="A101" s="80">
        <v>44124</v>
      </c>
      <c r="B101" s="37">
        <f t="shared" si="11"/>
        <v>100000</v>
      </c>
      <c r="C101" s="81"/>
      <c r="D101" s="78"/>
      <c r="E101" s="41"/>
      <c r="F101" s="42">
        <f t="shared" si="12"/>
        <v>0</v>
      </c>
      <c r="G101" s="73">
        <v>100000</v>
      </c>
      <c r="H101" s="47"/>
      <c r="I101" s="25"/>
      <c r="J101" s="51"/>
      <c r="K101" s="53" t="s">
        <v>64</v>
      </c>
      <c r="L101" s="58" t="s">
        <v>142</v>
      </c>
      <c r="M101" s="55"/>
      <c r="N101" s="55"/>
      <c r="O101" s="54"/>
    </row>
    <row r="102" s="1" customFormat="1" ht="18" customHeight="1" spans="1:15">
      <c r="A102" s="36">
        <v>44166</v>
      </c>
      <c r="B102" s="37">
        <f t="shared" si="11"/>
        <v>78761.06</v>
      </c>
      <c r="C102" s="38">
        <v>1</v>
      </c>
      <c r="D102" s="39" t="s">
        <v>40</v>
      </c>
      <c r="E102" s="41">
        <v>0.13</v>
      </c>
      <c r="F102" s="37">
        <f t="shared" si="12"/>
        <v>10238.94</v>
      </c>
      <c r="G102" s="28">
        <v>89000</v>
      </c>
      <c r="H102" s="83"/>
      <c r="I102" s="37"/>
      <c r="J102" s="55"/>
      <c r="K102" s="53" t="s">
        <v>143</v>
      </c>
      <c r="L102" s="54" t="s">
        <v>144</v>
      </c>
      <c r="M102" s="101" t="s">
        <v>145</v>
      </c>
      <c r="N102" s="55"/>
      <c r="O102" s="54"/>
    </row>
    <row r="103" s="1" customFormat="1" ht="18" customHeight="1" spans="1:15">
      <c r="A103" s="36">
        <v>44166</v>
      </c>
      <c r="B103" s="37">
        <f t="shared" si="11"/>
        <v>66371.68</v>
      </c>
      <c r="C103" s="38">
        <v>1</v>
      </c>
      <c r="D103" s="39" t="s">
        <v>40</v>
      </c>
      <c r="E103" s="41">
        <v>0.13</v>
      </c>
      <c r="F103" s="37">
        <f t="shared" si="12"/>
        <v>8628.32</v>
      </c>
      <c r="G103" s="28">
        <v>75000</v>
      </c>
      <c r="H103" s="83"/>
      <c r="I103" s="37"/>
      <c r="J103" s="55"/>
      <c r="K103" s="53" t="s">
        <v>143</v>
      </c>
      <c r="L103" s="54" t="s">
        <v>146</v>
      </c>
      <c r="M103" s="101" t="s">
        <v>145</v>
      </c>
      <c r="N103" s="55"/>
      <c r="O103" s="54"/>
    </row>
    <row r="104" s="1" customFormat="1" ht="18" customHeight="1" spans="1:15">
      <c r="A104" s="36">
        <v>44166</v>
      </c>
      <c r="B104" s="37">
        <f t="shared" si="11"/>
        <v>3359805.31</v>
      </c>
      <c r="C104" s="38">
        <v>38</v>
      </c>
      <c r="D104" s="39" t="s">
        <v>40</v>
      </c>
      <c r="E104" s="41">
        <v>0.13</v>
      </c>
      <c r="F104" s="37">
        <f t="shared" si="12"/>
        <v>436774.69</v>
      </c>
      <c r="G104" s="28">
        <f>99910*38</f>
        <v>3796580</v>
      </c>
      <c r="H104" s="83"/>
      <c r="I104" s="37"/>
      <c r="J104" s="55"/>
      <c r="K104" s="53" t="s">
        <v>143</v>
      </c>
      <c r="L104" s="54" t="s">
        <v>144</v>
      </c>
      <c r="M104" s="101" t="s">
        <v>145</v>
      </c>
      <c r="N104" s="55"/>
      <c r="O104" s="54"/>
    </row>
    <row r="105" s="1" customFormat="1" ht="18" customHeight="1" spans="1:15">
      <c r="A105" s="36">
        <v>44166</v>
      </c>
      <c r="B105" s="37">
        <f t="shared" si="11"/>
        <v>73823.01</v>
      </c>
      <c r="C105" s="38">
        <v>1</v>
      </c>
      <c r="D105" s="39" t="s">
        <v>40</v>
      </c>
      <c r="E105" s="41">
        <v>0.13</v>
      </c>
      <c r="F105" s="37">
        <f t="shared" si="12"/>
        <v>9596.99</v>
      </c>
      <c r="G105" s="28">
        <v>83420</v>
      </c>
      <c r="H105" s="83"/>
      <c r="I105" s="37"/>
      <c r="J105" s="55"/>
      <c r="K105" s="53" t="s">
        <v>143</v>
      </c>
      <c r="L105" s="54" t="s">
        <v>144</v>
      </c>
      <c r="M105" s="101" t="s">
        <v>145</v>
      </c>
      <c r="N105" s="55"/>
      <c r="O105" s="54"/>
    </row>
    <row r="106" s="1" customFormat="1" ht="18" customHeight="1" spans="1:15">
      <c r="A106" s="36">
        <v>44166</v>
      </c>
      <c r="B106" s="37">
        <f t="shared" si="11"/>
        <v>1680870.48</v>
      </c>
      <c r="C106" s="38">
        <v>19</v>
      </c>
      <c r="D106" s="39" t="s">
        <v>40</v>
      </c>
      <c r="E106" s="41">
        <v>0.13</v>
      </c>
      <c r="F106" s="37">
        <f t="shared" si="12"/>
        <v>218513.16</v>
      </c>
      <c r="G106" s="28">
        <f>99967.56*19</f>
        <v>1899383.64</v>
      </c>
      <c r="H106" s="83"/>
      <c r="I106" s="37"/>
      <c r="J106" s="55"/>
      <c r="K106" s="53" t="s">
        <v>143</v>
      </c>
      <c r="L106" s="54" t="s">
        <v>147</v>
      </c>
      <c r="M106" s="101" t="s">
        <v>145</v>
      </c>
      <c r="N106" s="55"/>
      <c r="O106" s="54"/>
    </row>
    <row r="107" s="1" customFormat="1" ht="18" customHeight="1" spans="1:15">
      <c r="A107" s="36">
        <v>44166</v>
      </c>
      <c r="B107" s="37">
        <f t="shared" si="11"/>
        <v>9041.03</v>
      </c>
      <c r="C107" s="38">
        <v>1</v>
      </c>
      <c r="D107" s="39" t="s">
        <v>40</v>
      </c>
      <c r="E107" s="41">
        <v>0.13</v>
      </c>
      <c r="F107" s="37">
        <f t="shared" si="12"/>
        <v>1175.33</v>
      </c>
      <c r="G107" s="28">
        <v>10216.36</v>
      </c>
      <c r="H107" s="83"/>
      <c r="I107" s="37"/>
      <c r="J107" s="55"/>
      <c r="K107" s="53" t="s">
        <v>143</v>
      </c>
      <c r="L107" s="54" t="s">
        <v>147</v>
      </c>
      <c r="M107" s="101" t="s">
        <v>145</v>
      </c>
      <c r="N107" s="55"/>
      <c r="O107" s="54"/>
    </row>
    <row r="108" s="1" customFormat="1" ht="18" customHeight="1" spans="1:15">
      <c r="A108" s="84">
        <v>44166</v>
      </c>
      <c r="B108" s="85">
        <f t="shared" si="11"/>
        <v>219633.03</v>
      </c>
      <c r="C108" s="86">
        <v>3</v>
      </c>
      <c r="D108" s="87" t="s">
        <v>40</v>
      </c>
      <c r="E108" s="88">
        <v>0.09</v>
      </c>
      <c r="F108" s="85">
        <f t="shared" ref="F108:F145" si="13">ROUND(G108/(1+E108)*E108,2)</f>
        <v>19766.97</v>
      </c>
      <c r="G108" s="85">
        <f>99998.9*2+39402.2</f>
        <v>239400</v>
      </c>
      <c r="H108" s="24"/>
      <c r="I108" s="25"/>
      <c r="J108" s="51"/>
      <c r="K108" s="53" t="s">
        <v>148</v>
      </c>
      <c r="L108" s="54" t="s">
        <v>149</v>
      </c>
      <c r="M108" s="56" t="s">
        <v>150</v>
      </c>
      <c r="N108" s="55"/>
      <c r="O108" s="102" t="s">
        <v>151</v>
      </c>
    </row>
    <row r="109" s="1" customFormat="1" ht="18" customHeight="1" spans="1:15">
      <c r="A109" s="84">
        <v>44166</v>
      </c>
      <c r="B109" s="85">
        <f t="shared" si="11"/>
        <v>1651376.15</v>
      </c>
      <c r="C109" s="86">
        <v>19</v>
      </c>
      <c r="D109" s="87" t="s">
        <v>40</v>
      </c>
      <c r="E109" s="88">
        <v>0.09</v>
      </c>
      <c r="F109" s="85">
        <f t="shared" si="13"/>
        <v>148623.85</v>
      </c>
      <c r="G109" s="85">
        <f>50076+50094+99990*17</f>
        <v>1800000</v>
      </c>
      <c r="H109" s="24"/>
      <c r="I109" s="25"/>
      <c r="J109" s="51"/>
      <c r="K109" s="53" t="s">
        <v>148</v>
      </c>
      <c r="L109" s="54" t="s">
        <v>152</v>
      </c>
      <c r="M109" s="56" t="s">
        <v>150</v>
      </c>
      <c r="N109" s="55"/>
      <c r="O109" s="102" t="s">
        <v>151</v>
      </c>
    </row>
    <row r="110" s="1" customFormat="1" ht="18" customHeight="1" spans="1:15">
      <c r="A110" s="36">
        <v>44166</v>
      </c>
      <c r="B110" s="37">
        <f t="shared" si="11"/>
        <v>2280</v>
      </c>
      <c r="C110" s="38">
        <v>2</v>
      </c>
      <c r="D110" s="39" t="s">
        <v>34</v>
      </c>
      <c r="E110" s="41"/>
      <c r="F110" s="42">
        <f t="shared" si="13"/>
        <v>0</v>
      </c>
      <c r="G110" s="28">
        <f>680+1600</f>
        <v>2280</v>
      </c>
      <c r="H110" s="24"/>
      <c r="I110" s="25"/>
      <c r="J110" s="51"/>
      <c r="K110" s="53" t="s">
        <v>153</v>
      </c>
      <c r="L110" s="54" t="s">
        <v>154</v>
      </c>
      <c r="M110" s="56"/>
      <c r="N110" s="55"/>
      <c r="O110" s="102"/>
    </row>
    <row r="111" s="1" customFormat="1" ht="18" customHeight="1" spans="1:15">
      <c r="A111" s="36">
        <v>44166</v>
      </c>
      <c r="B111" s="37">
        <f t="shared" si="11"/>
        <v>380</v>
      </c>
      <c r="C111" s="38">
        <v>1</v>
      </c>
      <c r="D111" s="39" t="s">
        <v>34</v>
      </c>
      <c r="E111" s="41"/>
      <c r="F111" s="42">
        <f t="shared" si="13"/>
        <v>0</v>
      </c>
      <c r="G111" s="28">
        <v>380</v>
      </c>
      <c r="H111" s="24"/>
      <c r="I111" s="25"/>
      <c r="J111" s="51"/>
      <c r="K111" s="53" t="s">
        <v>153</v>
      </c>
      <c r="L111" s="54" t="s">
        <v>155</v>
      </c>
      <c r="M111" s="56"/>
      <c r="N111" s="55"/>
      <c r="O111" s="54"/>
    </row>
    <row r="112" s="1" customFormat="1" ht="18" customHeight="1" spans="1:15">
      <c r="A112" s="36">
        <v>44166</v>
      </c>
      <c r="B112" s="37">
        <f t="shared" si="11"/>
        <v>159</v>
      </c>
      <c r="C112" s="38">
        <v>1</v>
      </c>
      <c r="D112" s="39" t="s">
        <v>34</v>
      </c>
      <c r="E112" s="41"/>
      <c r="F112" s="42">
        <f t="shared" si="13"/>
        <v>0</v>
      </c>
      <c r="G112" s="28">
        <v>159</v>
      </c>
      <c r="H112" s="24"/>
      <c r="I112" s="25"/>
      <c r="J112" s="51"/>
      <c r="K112" s="53" t="s">
        <v>153</v>
      </c>
      <c r="L112" s="54" t="s">
        <v>156</v>
      </c>
      <c r="M112" s="56"/>
      <c r="N112" s="55"/>
      <c r="O112" s="54"/>
    </row>
    <row r="113" s="1" customFormat="1" ht="18" customHeight="1" spans="1:15">
      <c r="A113" s="36">
        <v>44166</v>
      </c>
      <c r="B113" s="37">
        <f t="shared" si="11"/>
        <v>200</v>
      </c>
      <c r="C113" s="38">
        <v>1</v>
      </c>
      <c r="D113" s="46" t="s">
        <v>157</v>
      </c>
      <c r="E113" s="41"/>
      <c r="F113" s="42">
        <f t="shared" si="13"/>
        <v>0</v>
      </c>
      <c r="G113" s="28">
        <v>200</v>
      </c>
      <c r="H113" s="24"/>
      <c r="I113" s="25"/>
      <c r="J113" s="51"/>
      <c r="K113" s="53" t="s">
        <v>153</v>
      </c>
      <c r="L113" s="54" t="s">
        <v>158</v>
      </c>
      <c r="M113" s="56"/>
      <c r="N113" s="55"/>
      <c r="O113" s="54"/>
    </row>
    <row r="114" s="1" customFormat="1" ht="18" customHeight="1" spans="1:15">
      <c r="A114" s="36">
        <v>44166</v>
      </c>
      <c r="B114" s="37">
        <f t="shared" si="11"/>
        <v>200</v>
      </c>
      <c r="C114" s="38">
        <v>1</v>
      </c>
      <c r="D114" s="46" t="s">
        <v>157</v>
      </c>
      <c r="E114" s="41"/>
      <c r="F114" s="42">
        <f t="shared" si="13"/>
        <v>0</v>
      </c>
      <c r="G114" s="73">
        <v>200</v>
      </c>
      <c r="H114" s="24"/>
      <c r="I114" s="25"/>
      <c r="J114" s="51"/>
      <c r="K114" s="53" t="s">
        <v>153</v>
      </c>
      <c r="L114" s="54" t="s">
        <v>158</v>
      </c>
      <c r="M114" s="56"/>
      <c r="N114" s="55"/>
      <c r="O114" s="102" t="s">
        <v>159</v>
      </c>
    </row>
    <row r="115" s="1" customFormat="1" ht="18" customHeight="1" spans="1:15">
      <c r="A115" s="36">
        <v>44166</v>
      </c>
      <c r="B115" s="37">
        <f t="shared" ref="B115:B143" si="14">ROUND(G115/(1+E115),2)</f>
        <v>221023.01</v>
      </c>
      <c r="C115" s="81">
        <v>3</v>
      </c>
      <c r="D115" s="39" t="s">
        <v>40</v>
      </c>
      <c r="E115" s="41">
        <v>0.13</v>
      </c>
      <c r="F115" s="42">
        <f t="shared" si="13"/>
        <v>28732.99</v>
      </c>
      <c r="G115" s="73">
        <f>100000*2+49756</f>
        <v>249756</v>
      </c>
      <c r="H115" s="24"/>
      <c r="I115" s="25"/>
      <c r="J115" s="51"/>
      <c r="K115" s="53" t="s">
        <v>160</v>
      </c>
      <c r="L115" s="54" t="s">
        <v>161</v>
      </c>
      <c r="M115" s="56"/>
      <c r="N115" s="55"/>
      <c r="O115" s="102"/>
    </row>
    <row r="116" s="1" customFormat="1" ht="18" customHeight="1" spans="1:15">
      <c r="A116" s="36">
        <v>44166</v>
      </c>
      <c r="B116" s="37">
        <f t="shared" si="14"/>
        <v>1037</v>
      </c>
      <c r="C116" s="38">
        <v>1</v>
      </c>
      <c r="D116" s="39" t="s">
        <v>34</v>
      </c>
      <c r="E116" s="41"/>
      <c r="F116" s="42">
        <f t="shared" si="13"/>
        <v>0</v>
      </c>
      <c r="G116" s="73">
        <v>1037</v>
      </c>
      <c r="H116" s="83"/>
      <c r="I116" s="37"/>
      <c r="J116" s="55"/>
      <c r="K116" s="53" t="s">
        <v>153</v>
      </c>
      <c r="L116" s="54" t="s">
        <v>162</v>
      </c>
      <c r="M116" s="56"/>
      <c r="N116" s="55"/>
      <c r="O116" s="102" t="s">
        <v>19</v>
      </c>
    </row>
    <row r="117" s="1" customFormat="1" ht="18" customHeight="1" spans="1:15">
      <c r="A117" s="36">
        <v>44166</v>
      </c>
      <c r="B117" s="37">
        <f t="shared" si="14"/>
        <v>101350</v>
      </c>
      <c r="C117" s="81">
        <v>20</v>
      </c>
      <c r="D117" s="39" t="s">
        <v>34</v>
      </c>
      <c r="E117" s="41"/>
      <c r="F117" s="42">
        <f t="shared" si="13"/>
        <v>0</v>
      </c>
      <c r="G117" s="73">
        <f>5000*19+6350</f>
        <v>101350</v>
      </c>
      <c r="H117" s="83">
        <v>44181</v>
      </c>
      <c r="I117" s="37">
        <v>103150</v>
      </c>
      <c r="J117" s="55" t="s">
        <v>68</v>
      </c>
      <c r="K117" s="53" t="s">
        <v>118</v>
      </c>
      <c r="L117" s="54" t="s">
        <v>163</v>
      </c>
      <c r="M117" s="56" t="s">
        <v>164</v>
      </c>
      <c r="N117" s="55"/>
      <c r="O117" s="54"/>
    </row>
    <row r="118" s="1" customFormat="1" ht="18" customHeight="1" spans="1:15">
      <c r="A118" s="36">
        <v>44166</v>
      </c>
      <c r="B118" s="37">
        <f t="shared" si="14"/>
        <v>442478.67</v>
      </c>
      <c r="C118" s="81">
        <v>5</v>
      </c>
      <c r="D118" s="89" t="s">
        <v>40</v>
      </c>
      <c r="E118" s="41">
        <v>0.13</v>
      </c>
      <c r="F118" s="42">
        <f t="shared" si="13"/>
        <v>57522.23</v>
      </c>
      <c r="G118" s="73">
        <f>100000.18*5</f>
        <v>500000.9</v>
      </c>
      <c r="H118" s="83">
        <v>44180</v>
      </c>
      <c r="I118" s="37">
        <v>500000</v>
      </c>
      <c r="J118" s="55" t="s">
        <v>68</v>
      </c>
      <c r="K118" s="53" t="s">
        <v>138</v>
      </c>
      <c r="L118" s="54" t="s">
        <v>89</v>
      </c>
      <c r="M118" s="56" t="s">
        <v>165</v>
      </c>
      <c r="N118" s="55"/>
      <c r="O118" s="54"/>
    </row>
    <row r="119" s="1" customFormat="1" ht="18" customHeight="1" spans="1:15">
      <c r="A119" s="36">
        <v>44166</v>
      </c>
      <c r="B119" s="37">
        <f t="shared" si="14"/>
        <v>442483.01</v>
      </c>
      <c r="C119" s="81">
        <v>5</v>
      </c>
      <c r="D119" s="89" t="s">
        <v>40</v>
      </c>
      <c r="E119" s="41">
        <v>0.13</v>
      </c>
      <c r="F119" s="42">
        <f t="shared" si="13"/>
        <v>57522.79</v>
      </c>
      <c r="G119" s="73">
        <f>100001.16*5</f>
        <v>500005.8</v>
      </c>
      <c r="H119" s="83"/>
      <c r="I119" s="37"/>
      <c r="J119" s="55"/>
      <c r="K119" s="53" t="s">
        <v>138</v>
      </c>
      <c r="L119" s="54" t="s">
        <v>89</v>
      </c>
      <c r="M119" s="56" t="s">
        <v>165</v>
      </c>
      <c r="N119" s="55"/>
      <c r="O119" s="54"/>
    </row>
    <row r="120" s="1" customFormat="1" ht="18" customHeight="1" spans="1:15">
      <c r="A120" s="80">
        <v>44166</v>
      </c>
      <c r="B120" s="37">
        <f t="shared" si="14"/>
        <v>140000</v>
      </c>
      <c r="C120" s="81">
        <v>2</v>
      </c>
      <c r="D120" s="78" t="s">
        <v>34</v>
      </c>
      <c r="E120" s="41"/>
      <c r="F120" s="42">
        <f t="shared" si="13"/>
        <v>0</v>
      </c>
      <c r="G120" s="73">
        <f>40000+100000</f>
        <v>140000</v>
      </c>
      <c r="H120" s="83"/>
      <c r="I120" s="37"/>
      <c r="J120" s="55"/>
      <c r="K120" s="53" t="s">
        <v>84</v>
      </c>
      <c r="L120" s="58" t="s">
        <v>63</v>
      </c>
      <c r="M120" s="56" t="s">
        <v>104</v>
      </c>
      <c r="N120" s="55"/>
      <c r="O120" s="102"/>
    </row>
    <row r="121" s="1" customFormat="1" ht="18" customHeight="1" spans="1:15">
      <c r="A121" s="36">
        <v>44166</v>
      </c>
      <c r="B121" s="37">
        <f t="shared" si="14"/>
        <v>410</v>
      </c>
      <c r="C121" s="81">
        <v>2</v>
      </c>
      <c r="D121" s="89" t="s">
        <v>35</v>
      </c>
      <c r="E121" s="41"/>
      <c r="F121" s="42">
        <f t="shared" si="13"/>
        <v>0</v>
      </c>
      <c r="G121" s="73">
        <v>410</v>
      </c>
      <c r="H121" s="83"/>
      <c r="I121" s="37"/>
      <c r="J121" s="55"/>
      <c r="K121" s="53" t="s">
        <v>153</v>
      </c>
      <c r="L121" s="54" t="s">
        <v>166</v>
      </c>
      <c r="M121" s="56"/>
      <c r="N121" s="55"/>
      <c r="O121" s="102"/>
    </row>
    <row r="122" s="1" customFormat="1" ht="18" customHeight="1" spans="1:15">
      <c r="A122" s="36">
        <v>44166</v>
      </c>
      <c r="B122" s="37">
        <f t="shared" si="14"/>
        <v>160000</v>
      </c>
      <c r="C122" s="81">
        <v>2</v>
      </c>
      <c r="D122" s="39" t="s">
        <v>34</v>
      </c>
      <c r="E122" s="41"/>
      <c r="F122" s="42">
        <f t="shared" si="13"/>
        <v>0</v>
      </c>
      <c r="G122" s="73">
        <f>100000+60000</f>
        <v>160000</v>
      </c>
      <c r="H122" s="83"/>
      <c r="I122" s="37"/>
      <c r="J122" s="55"/>
      <c r="K122" s="53" t="s">
        <v>85</v>
      </c>
      <c r="L122" s="54" t="s">
        <v>99</v>
      </c>
      <c r="M122" s="56" t="s">
        <v>167</v>
      </c>
      <c r="N122" s="55"/>
      <c r="O122" s="102"/>
    </row>
    <row r="123" s="1" customFormat="1" ht="18" customHeight="1" spans="1:15">
      <c r="A123" s="80">
        <v>44166</v>
      </c>
      <c r="B123" s="37">
        <f t="shared" si="14"/>
        <v>66553</v>
      </c>
      <c r="C123" s="81">
        <v>1</v>
      </c>
      <c r="D123" s="78" t="s">
        <v>34</v>
      </c>
      <c r="E123" s="41"/>
      <c r="F123" s="42">
        <f t="shared" si="13"/>
        <v>0</v>
      </c>
      <c r="G123" s="73">
        <v>66553</v>
      </c>
      <c r="H123" s="83"/>
      <c r="I123" s="37"/>
      <c r="J123" s="55"/>
      <c r="K123" s="53" t="s">
        <v>84</v>
      </c>
      <c r="L123" s="58" t="s">
        <v>63</v>
      </c>
      <c r="M123" s="56" t="s">
        <v>104</v>
      </c>
      <c r="N123" s="55"/>
      <c r="O123" s="102"/>
    </row>
    <row r="124" s="1" customFormat="1" ht="18" customHeight="1" spans="1:15">
      <c r="A124" s="36">
        <v>44166</v>
      </c>
      <c r="B124" s="37">
        <f t="shared" si="14"/>
        <v>23848</v>
      </c>
      <c r="C124" s="38">
        <v>2</v>
      </c>
      <c r="D124" s="78" t="s">
        <v>34</v>
      </c>
      <c r="E124" s="41"/>
      <c r="F124" s="42">
        <f t="shared" si="13"/>
        <v>0</v>
      </c>
      <c r="G124" s="28">
        <f>10962+12886</f>
        <v>23848</v>
      </c>
      <c r="H124" s="83"/>
      <c r="I124" s="37"/>
      <c r="J124" s="55"/>
      <c r="K124" s="53" t="s">
        <v>83</v>
      </c>
      <c r="L124" s="58" t="s">
        <v>63</v>
      </c>
      <c r="M124" s="56" t="s">
        <v>168</v>
      </c>
      <c r="N124" s="55"/>
      <c r="O124" s="102"/>
    </row>
    <row r="125" s="1" customFormat="1" ht="18" customHeight="1" spans="1:15">
      <c r="A125" s="80">
        <v>44166</v>
      </c>
      <c r="B125" s="37">
        <f t="shared" si="14"/>
        <v>63000</v>
      </c>
      <c r="C125" s="81">
        <v>1</v>
      </c>
      <c r="D125" s="78" t="s">
        <v>34</v>
      </c>
      <c r="E125" s="41"/>
      <c r="F125" s="42">
        <f t="shared" si="13"/>
        <v>0</v>
      </c>
      <c r="G125" s="73">
        <v>63000</v>
      </c>
      <c r="H125" s="83"/>
      <c r="I125" s="37"/>
      <c r="J125" s="55"/>
      <c r="K125" s="53" t="s">
        <v>141</v>
      </c>
      <c r="L125" s="58" t="s">
        <v>63</v>
      </c>
      <c r="M125" s="56" t="s">
        <v>169</v>
      </c>
      <c r="N125" s="55"/>
      <c r="O125" s="102"/>
    </row>
    <row r="126" s="1" customFormat="1" ht="18" customHeight="1" spans="1:15">
      <c r="A126" s="80">
        <v>44166</v>
      </c>
      <c r="B126" s="37">
        <f t="shared" si="14"/>
        <v>110000</v>
      </c>
      <c r="C126" s="81">
        <v>2</v>
      </c>
      <c r="D126" s="78" t="s">
        <v>34</v>
      </c>
      <c r="E126" s="41"/>
      <c r="F126" s="42">
        <f t="shared" si="13"/>
        <v>0</v>
      </c>
      <c r="G126" s="73">
        <f>80000+30000</f>
        <v>110000</v>
      </c>
      <c r="H126" s="83"/>
      <c r="I126" s="37"/>
      <c r="J126" s="55"/>
      <c r="K126" s="53" t="s">
        <v>64</v>
      </c>
      <c r="L126" s="58" t="s">
        <v>63</v>
      </c>
      <c r="M126" s="56" t="s">
        <v>170</v>
      </c>
      <c r="N126" s="55"/>
      <c r="O126" s="102"/>
    </row>
    <row r="127" s="1" customFormat="1" ht="18" customHeight="1" spans="1:15">
      <c r="A127" s="36">
        <v>44228</v>
      </c>
      <c r="B127" s="37">
        <f t="shared" si="14"/>
        <v>100000</v>
      </c>
      <c r="C127" s="38">
        <v>1</v>
      </c>
      <c r="D127" s="78" t="s">
        <v>34</v>
      </c>
      <c r="E127" s="41"/>
      <c r="F127" s="42">
        <f t="shared" si="13"/>
        <v>0</v>
      </c>
      <c r="G127" s="28">
        <v>100000</v>
      </c>
      <c r="H127" s="83"/>
      <c r="I127" s="37"/>
      <c r="J127" s="55"/>
      <c r="K127" s="53" t="s">
        <v>83</v>
      </c>
      <c r="L127" s="58" t="s">
        <v>63</v>
      </c>
      <c r="M127" s="56" t="s">
        <v>168</v>
      </c>
      <c r="N127" s="55"/>
      <c r="O127" s="102"/>
    </row>
    <row r="128" s="1" customFormat="1" ht="18" customHeight="1" spans="1:15">
      <c r="A128" s="80">
        <v>44228</v>
      </c>
      <c r="B128" s="37">
        <f t="shared" si="14"/>
        <v>150000</v>
      </c>
      <c r="C128" s="81">
        <v>1</v>
      </c>
      <c r="D128" s="78" t="s">
        <v>34</v>
      </c>
      <c r="E128" s="41"/>
      <c r="F128" s="42">
        <f t="shared" si="13"/>
        <v>0</v>
      </c>
      <c r="G128" s="73">
        <v>150000</v>
      </c>
      <c r="H128" s="83"/>
      <c r="I128" s="37"/>
      <c r="J128" s="55"/>
      <c r="K128" s="53" t="s">
        <v>84</v>
      </c>
      <c r="L128" s="58" t="s">
        <v>63</v>
      </c>
      <c r="M128" s="56" t="s">
        <v>104</v>
      </c>
      <c r="N128" s="55"/>
      <c r="O128" s="102"/>
    </row>
    <row r="129" s="1" customFormat="1" ht="18" customHeight="1" spans="1:15">
      <c r="A129" s="103">
        <v>44228</v>
      </c>
      <c r="B129" s="37">
        <f t="shared" si="14"/>
        <v>585</v>
      </c>
      <c r="C129" s="104">
        <v>3</v>
      </c>
      <c r="D129" s="89" t="s">
        <v>35</v>
      </c>
      <c r="E129" s="41"/>
      <c r="F129" s="42">
        <f t="shared" si="13"/>
        <v>0</v>
      </c>
      <c r="G129" s="73">
        <v>585</v>
      </c>
      <c r="H129" s="83"/>
      <c r="I129" s="37"/>
      <c r="J129" s="55"/>
      <c r="K129" s="53" t="s">
        <v>153</v>
      </c>
      <c r="L129" s="54" t="s">
        <v>166</v>
      </c>
      <c r="M129" s="56"/>
      <c r="N129" s="55"/>
      <c r="O129" s="102"/>
    </row>
    <row r="130" s="1" customFormat="1" ht="18" customHeight="1" spans="1:15">
      <c r="A130" s="80">
        <v>44228</v>
      </c>
      <c r="B130" s="37">
        <f t="shared" si="14"/>
        <v>30000</v>
      </c>
      <c r="C130" s="81">
        <v>1</v>
      </c>
      <c r="D130" s="78" t="s">
        <v>34</v>
      </c>
      <c r="E130" s="41"/>
      <c r="F130" s="42">
        <f t="shared" si="13"/>
        <v>0</v>
      </c>
      <c r="G130" s="73">
        <v>30000</v>
      </c>
      <c r="H130" s="83"/>
      <c r="I130" s="37"/>
      <c r="J130" s="55"/>
      <c r="K130" s="53" t="s">
        <v>141</v>
      </c>
      <c r="L130" s="58" t="s">
        <v>63</v>
      </c>
      <c r="M130" s="56" t="s">
        <v>169</v>
      </c>
      <c r="N130" s="55"/>
      <c r="O130" s="102"/>
    </row>
    <row r="131" s="1" customFormat="1" ht="18" customHeight="1" spans="1:15">
      <c r="A131" s="105">
        <v>44228</v>
      </c>
      <c r="B131" s="106">
        <f t="shared" si="14"/>
        <v>2000</v>
      </c>
      <c r="C131" s="107">
        <v>1</v>
      </c>
      <c r="D131" s="107" t="s">
        <v>34</v>
      </c>
      <c r="E131" s="108"/>
      <c r="F131" s="109">
        <f t="shared" si="13"/>
        <v>0</v>
      </c>
      <c r="G131" s="110">
        <v>2000</v>
      </c>
      <c r="H131" s="83"/>
      <c r="I131" s="37"/>
      <c r="J131" s="55"/>
      <c r="K131" s="53" t="s">
        <v>171</v>
      </c>
      <c r="L131" s="58" t="s">
        <v>172</v>
      </c>
      <c r="M131" s="56"/>
      <c r="N131" s="55"/>
      <c r="O131" s="102" t="s">
        <v>214</v>
      </c>
    </row>
    <row r="132" s="1" customFormat="1" ht="18" customHeight="1" spans="1:15">
      <c r="A132" s="105">
        <v>44228</v>
      </c>
      <c r="B132" s="106">
        <f t="shared" si="14"/>
        <v>7700</v>
      </c>
      <c r="C132" s="111">
        <v>1</v>
      </c>
      <c r="D132" s="107" t="s">
        <v>34</v>
      </c>
      <c r="E132" s="108"/>
      <c r="F132" s="109">
        <f t="shared" si="13"/>
        <v>0</v>
      </c>
      <c r="G132" s="110">
        <v>7700</v>
      </c>
      <c r="H132" s="83"/>
      <c r="I132" s="37"/>
      <c r="J132" s="55"/>
      <c r="K132" s="53" t="s">
        <v>96</v>
      </c>
      <c r="L132" s="58" t="s">
        <v>173</v>
      </c>
      <c r="M132" s="56"/>
      <c r="N132" s="55"/>
      <c r="O132" s="102" t="s">
        <v>214</v>
      </c>
    </row>
    <row r="133" s="1" customFormat="1" ht="18" customHeight="1" spans="1:15">
      <c r="A133" s="105">
        <v>44228</v>
      </c>
      <c r="B133" s="106">
        <f t="shared" si="14"/>
        <v>2450</v>
      </c>
      <c r="C133" s="111">
        <v>1</v>
      </c>
      <c r="D133" s="107" t="s">
        <v>34</v>
      </c>
      <c r="E133" s="108"/>
      <c r="F133" s="109">
        <f t="shared" si="13"/>
        <v>0</v>
      </c>
      <c r="G133" s="110">
        <v>2450</v>
      </c>
      <c r="H133" s="83"/>
      <c r="I133" s="37"/>
      <c r="J133" s="55"/>
      <c r="K133" s="53" t="s">
        <v>174</v>
      </c>
      <c r="L133" s="58" t="s">
        <v>175</v>
      </c>
      <c r="M133" s="56"/>
      <c r="N133" s="55"/>
      <c r="O133" s="102" t="s">
        <v>214</v>
      </c>
    </row>
    <row r="134" s="1" customFormat="1" ht="18" customHeight="1" spans="1:15">
      <c r="A134" s="80">
        <v>44228</v>
      </c>
      <c r="B134" s="37">
        <f t="shared" si="14"/>
        <v>287128.71</v>
      </c>
      <c r="C134" s="81">
        <v>3</v>
      </c>
      <c r="D134" s="78" t="s">
        <v>40</v>
      </c>
      <c r="E134" s="41">
        <v>0.01</v>
      </c>
      <c r="F134" s="42">
        <f t="shared" si="13"/>
        <v>2871.29</v>
      </c>
      <c r="G134" s="73">
        <f>100000+100000+90000</f>
        <v>290000</v>
      </c>
      <c r="H134" s="83"/>
      <c r="I134" s="37"/>
      <c r="J134" s="55"/>
      <c r="K134" s="53" t="s">
        <v>65</v>
      </c>
      <c r="L134" s="58" t="s">
        <v>66</v>
      </c>
      <c r="M134" s="56" t="s">
        <v>176</v>
      </c>
      <c r="N134" s="55"/>
      <c r="O134" s="102"/>
    </row>
    <row r="135" s="1" customFormat="1" ht="18" customHeight="1" spans="1:15">
      <c r="A135" s="105">
        <v>44228</v>
      </c>
      <c r="B135" s="106">
        <f t="shared" si="14"/>
        <v>300</v>
      </c>
      <c r="C135" s="111">
        <v>1</v>
      </c>
      <c r="D135" s="107" t="s">
        <v>34</v>
      </c>
      <c r="E135" s="108"/>
      <c r="F135" s="109">
        <f t="shared" si="13"/>
        <v>0</v>
      </c>
      <c r="G135" s="110">
        <v>300</v>
      </c>
      <c r="H135" s="83"/>
      <c r="I135" s="37"/>
      <c r="J135" s="55"/>
      <c r="K135" s="53" t="s">
        <v>153</v>
      </c>
      <c r="L135" s="54" t="s">
        <v>177</v>
      </c>
      <c r="M135" s="56"/>
      <c r="N135" s="55"/>
      <c r="O135" s="102" t="s">
        <v>214</v>
      </c>
    </row>
    <row r="136" s="1" customFormat="1" ht="18" customHeight="1" spans="1:15">
      <c r="A136" s="105"/>
      <c r="B136" s="106">
        <f t="shared" si="14"/>
        <v>0</v>
      </c>
      <c r="C136" s="111"/>
      <c r="D136" s="112"/>
      <c r="E136" s="108"/>
      <c r="F136" s="109">
        <f t="shared" si="13"/>
        <v>0</v>
      </c>
      <c r="G136" s="110"/>
      <c r="H136" s="83"/>
      <c r="I136" s="37"/>
      <c r="J136" s="55"/>
      <c r="K136" s="53"/>
      <c r="L136" s="58"/>
      <c r="M136" s="56"/>
      <c r="N136" s="55"/>
      <c r="O136" s="102"/>
    </row>
    <row r="137" s="1" customFormat="1" ht="18" customHeight="1" spans="1:15">
      <c r="A137" s="105"/>
      <c r="B137" s="106">
        <f t="shared" si="14"/>
        <v>0</v>
      </c>
      <c r="C137" s="111"/>
      <c r="D137" s="112"/>
      <c r="E137" s="108"/>
      <c r="F137" s="109">
        <f t="shared" si="13"/>
        <v>0</v>
      </c>
      <c r="G137" s="110"/>
      <c r="H137" s="83"/>
      <c r="I137" s="37"/>
      <c r="J137" s="55"/>
      <c r="K137" s="53"/>
      <c r="L137" s="58"/>
      <c r="M137" s="56"/>
      <c r="N137" s="55"/>
      <c r="O137" s="102"/>
    </row>
    <row r="138" s="1" customFormat="1" ht="18" customHeight="1" spans="1:15">
      <c r="A138" s="105"/>
      <c r="B138" s="106">
        <f t="shared" si="14"/>
        <v>0</v>
      </c>
      <c r="C138" s="111"/>
      <c r="D138" s="112"/>
      <c r="E138" s="108"/>
      <c r="F138" s="109">
        <f t="shared" si="13"/>
        <v>0</v>
      </c>
      <c r="G138" s="110"/>
      <c r="H138" s="83"/>
      <c r="I138" s="37"/>
      <c r="J138" s="55"/>
      <c r="K138" s="53"/>
      <c r="L138" s="58"/>
      <c r="M138" s="56"/>
      <c r="N138" s="55"/>
      <c r="O138" s="102"/>
    </row>
    <row r="139" s="1" customFormat="1" ht="18" customHeight="1" spans="1:15">
      <c r="A139" s="80"/>
      <c r="B139" s="106">
        <f t="shared" si="14"/>
        <v>0</v>
      </c>
      <c r="C139" s="81"/>
      <c r="D139" s="78"/>
      <c r="E139" s="41"/>
      <c r="F139" s="109">
        <f t="shared" si="13"/>
        <v>0</v>
      </c>
      <c r="G139" s="73"/>
      <c r="H139" s="113">
        <v>44063</v>
      </c>
      <c r="I139" s="25">
        <v>100000</v>
      </c>
      <c r="J139" s="126" t="s">
        <v>68</v>
      </c>
      <c r="K139" s="53" t="s">
        <v>138</v>
      </c>
      <c r="L139" s="127" t="s">
        <v>89</v>
      </c>
      <c r="M139" s="55"/>
      <c r="N139" s="55"/>
      <c r="O139" s="54"/>
    </row>
    <row r="140" s="1" customFormat="1" ht="18" customHeight="1" spans="1:15">
      <c r="A140" s="80"/>
      <c r="B140" s="106">
        <f t="shared" si="14"/>
        <v>0</v>
      </c>
      <c r="C140" s="81"/>
      <c r="D140" s="78"/>
      <c r="E140" s="41"/>
      <c r="F140" s="109">
        <f t="shared" si="13"/>
        <v>0</v>
      </c>
      <c r="G140" s="73"/>
      <c r="H140" s="47">
        <v>44063</v>
      </c>
      <c r="I140" s="25">
        <v>-100100</v>
      </c>
      <c r="J140" s="55" t="s">
        <v>71</v>
      </c>
      <c r="K140" s="58" t="s">
        <v>178</v>
      </c>
      <c r="L140" s="58" t="s">
        <v>179</v>
      </c>
      <c r="M140" s="55"/>
      <c r="N140" s="55"/>
      <c r="O140" s="54"/>
    </row>
    <row r="141" s="1" customFormat="1" ht="18" customHeight="1" spans="1:15">
      <c r="A141" s="103"/>
      <c r="B141" s="106">
        <f t="shared" si="14"/>
        <v>0</v>
      </c>
      <c r="C141" s="72"/>
      <c r="D141" s="37"/>
      <c r="E141" s="41"/>
      <c r="F141" s="109">
        <f t="shared" si="13"/>
        <v>0</v>
      </c>
      <c r="G141" s="73"/>
      <c r="H141" s="83">
        <v>44050</v>
      </c>
      <c r="I141" s="42">
        <v>40500</v>
      </c>
      <c r="J141" s="55" t="s">
        <v>68</v>
      </c>
      <c r="K141" s="58" t="s">
        <v>83</v>
      </c>
      <c r="L141" s="55" t="s">
        <v>180</v>
      </c>
      <c r="M141" s="102"/>
      <c r="N141" s="55"/>
      <c r="O141" s="54"/>
    </row>
    <row r="142" s="1" customFormat="1" ht="18" customHeight="1" spans="1:15">
      <c r="A142" s="44"/>
      <c r="B142" s="106">
        <f t="shared" si="14"/>
        <v>0</v>
      </c>
      <c r="C142" s="72"/>
      <c r="D142" s="37"/>
      <c r="E142" s="41"/>
      <c r="F142" s="109">
        <f t="shared" si="13"/>
        <v>0</v>
      </c>
      <c r="G142" s="73"/>
      <c r="H142" s="83">
        <v>44048</v>
      </c>
      <c r="I142" s="27">
        <v>-40550</v>
      </c>
      <c r="J142" s="55" t="s">
        <v>71</v>
      </c>
      <c r="K142" s="58" t="s">
        <v>178</v>
      </c>
      <c r="L142" s="55" t="s">
        <v>215</v>
      </c>
      <c r="M142" s="54"/>
      <c r="N142" s="55"/>
      <c r="O142" s="54" t="s">
        <v>181</v>
      </c>
    </row>
    <row r="143" s="1" customFormat="1" ht="18" customHeight="1" spans="1:15">
      <c r="A143" s="44"/>
      <c r="B143" s="37">
        <f t="shared" si="14"/>
        <v>0</v>
      </c>
      <c r="C143" s="72"/>
      <c r="D143" s="37"/>
      <c r="E143" s="41"/>
      <c r="F143" s="109">
        <f t="shared" si="13"/>
        <v>0</v>
      </c>
      <c r="G143" s="73"/>
      <c r="H143" s="83">
        <v>44179</v>
      </c>
      <c r="I143" s="25">
        <v>-500000</v>
      </c>
      <c r="J143" s="55" t="s">
        <v>71</v>
      </c>
      <c r="K143" s="58" t="s">
        <v>178</v>
      </c>
      <c r="L143" s="58" t="s">
        <v>179</v>
      </c>
      <c r="M143" s="55"/>
      <c r="N143" s="55"/>
      <c r="O143" s="54"/>
    </row>
    <row r="144" s="1" customFormat="1" ht="18" customHeight="1" spans="1:15">
      <c r="A144" s="44"/>
      <c r="B144" s="37"/>
      <c r="C144" s="72"/>
      <c r="D144" s="37"/>
      <c r="E144" s="41"/>
      <c r="F144" s="109">
        <f t="shared" si="13"/>
        <v>0</v>
      </c>
      <c r="G144" s="73"/>
      <c r="H144" s="83">
        <v>44182</v>
      </c>
      <c r="I144" s="25">
        <v>-1800</v>
      </c>
      <c r="J144" s="55" t="s">
        <v>71</v>
      </c>
      <c r="K144" s="58" t="s">
        <v>178</v>
      </c>
      <c r="L144" s="58" t="s">
        <v>179</v>
      </c>
      <c r="M144" s="55"/>
      <c r="N144" s="55"/>
      <c r="O144" s="54"/>
    </row>
    <row r="145" s="1" customFormat="1" ht="18" customHeight="1" spans="1:15">
      <c r="A145" s="44"/>
      <c r="B145" s="37">
        <f t="shared" ref="B145:B152" si="15">ROUND(G145/(1+E145),2)</f>
        <v>0</v>
      </c>
      <c r="C145" s="72"/>
      <c r="D145" s="37"/>
      <c r="E145" s="41"/>
      <c r="F145" s="109">
        <f t="shared" si="13"/>
        <v>0</v>
      </c>
      <c r="G145" s="73"/>
      <c r="H145" s="83">
        <v>44181</v>
      </c>
      <c r="I145" s="25">
        <v>-101350</v>
      </c>
      <c r="J145" s="55" t="s">
        <v>71</v>
      </c>
      <c r="K145" s="58" t="s">
        <v>178</v>
      </c>
      <c r="L145" s="58" t="s">
        <v>179</v>
      </c>
      <c r="M145" s="55"/>
      <c r="N145" s="55"/>
      <c r="O145" s="54"/>
    </row>
    <row r="146" s="1" customFormat="1" ht="18" customHeight="1" spans="1:15">
      <c r="A146" s="44"/>
      <c r="B146" s="37">
        <f t="shared" si="15"/>
        <v>0</v>
      </c>
      <c r="C146" s="72"/>
      <c r="D146" s="37"/>
      <c r="E146" s="41"/>
      <c r="F146" s="42">
        <f t="shared" ref="F145:F150" si="16">ROUND(G146/(1+E146)*E146,2)</f>
        <v>0</v>
      </c>
      <c r="G146" s="73"/>
      <c r="H146" s="47" t="s">
        <v>192</v>
      </c>
      <c r="I146" s="27">
        <v>-100</v>
      </c>
      <c r="J146" s="55" t="s">
        <v>193</v>
      </c>
      <c r="K146" s="58" t="s">
        <v>194</v>
      </c>
      <c r="L146" s="58"/>
      <c r="M146" s="55"/>
      <c r="N146" s="55"/>
      <c r="O146" s="54"/>
    </row>
    <row r="147" s="1" customFormat="1" ht="18" customHeight="1" spans="1:15">
      <c r="A147" s="44"/>
      <c r="B147" s="37">
        <f t="shared" si="15"/>
        <v>0</v>
      </c>
      <c r="C147" s="72"/>
      <c r="D147" s="37"/>
      <c r="E147" s="41"/>
      <c r="F147" s="42">
        <f t="shared" si="16"/>
        <v>0</v>
      </c>
      <c r="G147" s="73"/>
      <c r="H147" s="47" t="s">
        <v>192</v>
      </c>
      <c r="I147" s="42">
        <v>100</v>
      </c>
      <c r="J147" s="55" t="s">
        <v>195</v>
      </c>
      <c r="K147" s="58" t="s">
        <v>196</v>
      </c>
      <c r="L147" s="58"/>
      <c r="M147" s="55"/>
      <c r="N147" s="55"/>
      <c r="O147" s="54"/>
    </row>
    <row r="148" s="1" customFormat="1" ht="18" customHeight="1" spans="1:15">
      <c r="A148" s="44"/>
      <c r="B148" s="37">
        <f t="shared" si="15"/>
        <v>0</v>
      </c>
      <c r="C148" s="72"/>
      <c r="D148" s="37"/>
      <c r="E148" s="41"/>
      <c r="F148" s="42">
        <f t="shared" si="16"/>
        <v>0</v>
      </c>
      <c r="G148" s="73"/>
      <c r="H148" s="47" t="s">
        <v>192</v>
      </c>
      <c r="I148" s="27">
        <v>-100</v>
      </c>
      <c r="J148" s="55" t="s">
        <v>193</v>
      </c>
      <c r="K148" s="58" t="s">
        <v>194</v>
      </c>
      <c r="L148" s="55"/>
      <c r="M148" s="54"/>
      <c r="N148" s="55"/>
      <c r="O148" s="54"/>
    </row>
    <row r="149" s="1" customFormat="1" ht="18" customHeight="1" spans="1:15">
      <c r="A149" s="44"/>
      <c r="B149" s="37">
        <f t="shared" si="15"/>
        <v>0</v>
      </c>
      <c r="C149" s="72"/>
      <c r="D149" s="37"/>
      <c r="E149" s="41"/>
      <c r="F149" s="42">
        <f t="shared" si="16"/>
        <v>0</v>
      </c>
      <c r="G149" s="73"/>
      <c r="H149" s="47" t="s">
        <v>192</v>
      </c>
      <c r="I149" s="42">
        <v>100</v>
      </c>
      <c r="J149" s="55" t="s">
        <v>195</v>
      </c>
      <c r="K149" s="58" t="s">
        <v>196</v>
      </c>
      <c r="L149" s="55"/>
      <c r="M149" s="54"/>
      <c r="N149" s="55"/>
      <c r="O149" s="54"/>
    </row>
    <row r="150" s="1" customFormat="1" ht="18" customHeight="1" spans="1:15">
      <c r="A150" s="44"/>
      <c r="B150" s="37">
        <f t="shared" si="15"/>
        <v>0</v>
      </c>
      <c r="C150" s="72"/>
      <c r="D150" s="37"/>
      <c r="E150" s="41"/>
      <c r="F150" s="42">
        <f t="shared" si="16"/>
        <v>0</v>
      </c>
      <c r="G150" s="73"/>
      <c r="H150" s="47" t="s">
        <v>192</v>
      </c>
      <c r="I150" s="42">
        <v>100</v>
      </c>
      <c r="J150" s="55" t="s">
        <v>195</v>
      </c>
      <c r="K150" s="58" t="s">
        <v>196</v>
      </c>
      <c r="L150" s="55"/>
      <c r="M150" s="54"/>
      <c r="N150" s="55"/>
      <c r="O150" s="102"/>
    </row>
    <row r="151" s="1" customFormat="1" ht="18" customHeight="1" spans="1:15">
      <c r="A151" s="44"/>
      <c r="B151" s="42">
        <f t="shared" si="15"/>
        <v>0</v>
      </c>
      <c r="C151" s="72"/>
      <c r="D151" s="37"/>
      <c r="E151" s="41"/>
      <c r="F151" s="42">
        <f t="shared" ref="F148:F152" si="17">ROUND(G151/(1+E151)*E151,2)</f>
        <v>0</v>
      </c>
      <c r="G151" s="73"/>
      <c r="H151" s="47" t="s">
        <v>192</v>
      </c>
      <c r="I151" s="42">
        <v>50</v>
      </c>
      <c r="J151" s="55" t="s">
        <v>195</v>
      </c>
      <c r="K151" s="58" t="s">
        <v>196</v>
      </c>
      <c r="L151" s="55"/>
      <c r="M151" s="54"/>
      <c r="N151" s="55"/>
      <c r="O151" s="102"/>
    </row>
    <row r="152" s="1" customFormat="1" ht="18" customHeight="1" spans="1:15">
      <c r="A152" s="36">
        <v>44063</v>
      </c>
      <c r="B152" s="37">
        <f t="shared" si="15"/>
        <v>0</v>
      </c>
      <c r="C152" s="38"/>
      <c r="D152" s="39"/>
      <c r="E152" s="40"/>
      <c r="F152" s="42">
        <f t="shared" si="17"/>
        <v>0</v>
      </c>
      <c r="G152" s="28"/>
      <c r="H152" s="47" t="s">
        <v>192</v>
      </c>
      <c r="I152" s="37">
        <v>1000</v>
      </c>
      <c r="J152" s="55" t="s">
        <v>195</v>
      </c>
      <c r="K152" s="53" t="s">
        <v>196</v>
      </c>
      <c r="L152" s="54"/>
      <c r="M152" s="55"/>
      <c r="N152" s="55"/>
      <c r="O152" s="102"/>
    </row>
    <row r="153" ht="18" customHeight="1" spans="1:15">
      <c r="A153" s="31" t="s">
        <v>20</v>
      </c>
      <c r="B153" s="30">
        <f t="shared" ref="B153:G153" si="18">SUM(B14:B152)</f>
        <v>13259897.12</v>
      </c>
      <c r="C153" s="31"/>
      <c r="D153" s="114"/>
      <c r="E153" s="114"/>
      <c r="F153" s="33">
        <f t="shared" si="18"/>
        <v>1101647.4</v>
      </c>
      <c r="G153" s="115">
        <f t="shared" si="18"/>
        <v>14361544.52</v>
      </c>
      <c r="H153" s="116"/>
      <c r="I153" s="32">
        <f>SUM(I14:I152)</f>
        <v>0</v>
      </c>
      <c r="J153" s="128"/>
      <c r="K153" s="114"/>
      <c r="L153" s="34"/>
      <c r="M153" s="51"/>
      <c r="N153" s="51"/>
      <c r="O153" s="34"/>
    </row>
    <row r="154" ht="18" customHeight="1" spans="1:14">
      <c r="A154" s="117" t="s">
        <v>197</v>
      </c>
      <c r="B154" s="118">
        <f>B11*0.936</f>
        <v>9445871.55963303</v>
      </c>
      <c r="C154" s="117"/>
      <c r="D154" s="119"/>
      <c r="E154" s="119"/>
      <c r="F154" s="118"/>
      <c r="G154" s="118">
        <f>G11-G153</f>
        <v>-3361544.52</v>
      </c>
      <c r="H154" s="23" t="s">
        <v>198</v>
      </c>
      <c r="I154" s="32">
        <f>I11-I153</f>
        <v>0</v>
      </c>
      <c r="J154" s="9"/>
      <c r="K154" s="129"/>
      <c r="M154" s="130"/>
      <c r="N154" s="130"/>
    </row>
    <row r="155" ht="18" customHeight="1" spans="1:14">
      <c r="A155" s="117" t="s">
        <v>199</v>
      </c>
      <c r="B155" s="118">
        <f>B154-B153</f>
        <v>-3814025.56036697</v>
      </c>
      <c r="C155" s="117"/>
      <c r="D155" s="119"/>
      <c r="E155" s="119"/>
      <c r="F155" s="118"/>
      <c r="G155" s="118"/>
      <c r="H155" s="120"/>
      <c r="I155" s="118"/>
      <c r="J155" s="9"/>
      <c r="M155" s="130"/>
      <c r="N155" s="130"/>
    </row>
    <row r="156" ht="18" customHeight="1" spans="1:3">
      <c r="A156" s="5" t="s">
        <v>200</v>
      </c>
      <c r="C156" s="5"/>
    </row>
    <row r="157" ht="18" customHeight="1" spans="1:6">
      <c r="A157" s="23" t="s">
        <v>201</v>
      </c>
      <c r="B157" s="22" t="s">
        <v>202</v>
      </c>
      <c r="C157" s="34"/>
      <c r="D157" s="23" t="s">
        <v>201</v>
      </c>
      <c r="E157" s="21" t="s">
        <v>14</v>
      </c>
      <c r="F157" s="22" t="s">
        <v>202</v>
      </c>
    </row>
    <row r="158" ht="18" customHeight="1" spans="1:6">
      <c r="A158" s="34" t="s">
        <v>203</v>
      </c>
      <c r="B158" s="37">
        <f>(B154-B153)*0.25</f>
        <v>-953506.390091742</v>
      </c>
      <c r="C158" s="34"/>
      <c r="D158" s="29" t="s">
        <v>204</v>
      </c>
      <c r="E158" s="23" t="s">
        <v>205</v>
      </c>
      <c r="F158" s="33">
        <f>F11-F153</f>
        <v>-395225.381651376</v>
      </c>
    </row>
    <row r="159" ht="18" customHeight="1" spans="1:6">
      <c r="A159" s="34" t="s">
        <v>206</v>
      </c>
      <c r="B159" s="121"/>
      <c r="C159" s="34"/>
      <c r="D159" s="122" t="s">
        <v>207</v>
      </c>
      <c r="E159" s="123">
        <v>0.07</v>
      </c>
      <c r="F159" s="25">
        <f>F158*E159</f>
        <v>-27665.7767155963</v>
      </c>
    </row>
    <row r="160" ht="18" customHeight="1" spans="1:6">
      <c r="A160" s="34" t="s">
        <v>208</v>
      </c>
      <c r="B160" s="121"/>
      <c r="C160" s="34"/>
      <c r="D160" s="122" t="s">
        <v>209</v>
      </c>
      <c r="E160" s="123">
        <v>0.03</v>
      </c>
      <c r="F160" s="25">
        <f>F158*E160</f>
        <v>-11856.7614495413</v>
      </c>
    </row>
    <row r="161" ht="18" customHeight="1" spans="1:6">
      <c r="A161" s="34"/>
      <c r="B161" s="25"/>
      <c r="C161" s="34"/>
      <c r="D161" s="122" t="s">
        <v>210</v>
      </c>
      <c r="E161" s="123">
        <v>0.02</v>
      </c>
      <c r="F161" s="25">
        <f>F158*E161</f>
        <v>-7904.50763302752</v>
      </c>
    </row>
    <row r="162" ht="18" customHeight="1" spans="1:6">
      <c r="A162" s="29" t="s">
        <v>211</v>
      </c>
      <c r="B162" s="30">
        <f>SUM(B158:B161)</f>
        <v>-953506.390091742</v>
      </c>
      <c r="C162" s="34"/>
      <c r="D162" s="35" t="s">
        <v>211</v>
      </c>
      <c r="E162" s="29"/>
      <c r="F162" s="33">
        <f>SUM(F158:F161)</f>
        <v>-442652.427449541</v>
      </c>
    </row>
    <row r="163" ht="18" customHeight="1" spans="3:6">
      <c r="C163" s="5"/>
      <c r="D163" s="124" t="s">
        <v>206</v>
      </c>
      <c r="E163" s="125">
        <v>0.0003</v>
      </c>
      <c r="F163" s="25">
        <f>G11*E163</f>
        <v>3300</v>
      </c>
    </row>
    <row r="164" ht="18" customHeight="1" spans="3:6">
      <c r="C164" s="5"/>
      <c r="D164" s="124" t="s">
        <v>208</v>
      </c>
      <c r="E164" s="125">
        <v>0.0006</v>
      </c>
      <c r="F164" s="25">
        <f>B158</f>
        <v>-953506.390091742</v>
      </c>
    </row>
    <row r="165" ht="18" customHeight="1" spans="3:11">
      <c r="C165" s="5"/>
      <c r="D165" s="21" t="s">
        <v>211</v>
      </c>
      <c r="E165" s="114"/>
      <c r="F165" s="32">
        <f>F164+F163</f>
        <v>-950206.390091742</v>
      </c>
      <c r="K165" s="9" t="s">
        <v>116</v>
      </c>
    </row>
    <row r="166" ht="18" customHeight="1" spans="3:6">
      <c r="C166" s="5"/>
      <c r="D166" s="21" t="s">
        <v>20</v>
      </c>
      <c r="E166" s="31"/>
      <c r="F166" s="32">
        <f>F162+F165</f>
        <v>-1392858.81754128</v>
      </c>
    </row>
    <row r="167" ht="18" customHeight="1" spans="3:6">
      <c r="C167" s="5"/>
      <c r="D167" s="31" t="s">
        <v>203</v>
      </c>
      <c r="E167" s="114">
        <v>0.016</v>
      </c>
      <c r="F167" s="32">
        <f>G11*E167</f>
        <v>176000</v>
      </c>
    </row>
    <row r="168" ht="18" customHeight="1" spans="3:3">
      <c r="C168" s="5"/>
    </row>
    <row r="169" ht="18" customHeight="1" spans="3:10">
      <c r="C169" s="5"/>
      <c r="H169" s="7" t="s">
        <v>212</v>
      </c>
      <c r="J169" s="6"/>
    </row>
    <row r="170" ht="18" customHeight="1" spans="3:3">
      <c r="C170" s="5"/>
    </row>
    <row r="171" spans="3:3">
      <c r="C171" s="5"/>
    </row>
    <row r="172" spans="3:3">
      <c r="C172" s="5"/>
    </row>
    <row r="173" spans="3:3">
      <c r="C173" s="5"/>
    </row>
    <row r="174" spans="3:3">
      <c r="C174" s="5"/>
    </row>
    <row r="175" spans="3:3">
      <c r="C175" s="5"/>
    </row>
    <row r="176" spans="3:3">
      <c r="C176" s="5"/>
    </row>
    <row r="177" spans="3:3">
      <c r="C177" s="5"/>
    </row>
    <row r="178" spans="3:3">
      <c r="C178" s="5"/>
    </row>
    <row r="179" spans="3:3">
      <c r="C179" s="5"/>
    </row>
    <row r="180" spans="3:3">
      <c r="C180" s="5"/>
    </row>
    <row r="181" spans="3:11">
      <c r="C181" s="5"/>
      <c r="K181" s="9" t="s">
        <v>213</v>
      </c>
    </row>
    <row r="182" spans="3:3">
      <c r="C182" s="5"/>
    </row>
    <row r="183" spans="3:3">
      <c r="C183" s="5"/>
    </row>
    <row r="184" spans="3:3">
      <c r="C184" s="5"/>
    </row>
    <row r="185" spans="3:3">
      <c r="C185" s="5"/>
    </row>
    <row r="186" spans="3:3">
      <c r="C186" s="5"/>
    </row>
  </sheetData>
  <autoFilter ref="A13:S167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WPS_1559024150</cp:lastModifiedBy>
  <dcterms:created xsi:type="dcterms:W3CDTF">2016-07-12T06:03:00Z</dcterms:created>
  <cp:lastPrinted>2016-11-23T10:22:00Z</cp:lastPrinted>
  <dcterms:modified xsi:type="dcterms:W3CDTF">2021-04-23T05:55:35Z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D403CC62A9874B12B5A6E4C572B04FE1</vt:lpwstr>
  </property>
</Properties>
</file>