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新" sheetId="2" r:id="rId1"/>
    <sheet name="旧" sheetId="1" r:id="rId2"/>
  </sheets>
  <definedNames>
    <definedName name="_xlnm._FilterDatabase" localSheetId="0" hidden="1">新!$A$15:$S$120</definedName>
    <definedName name="_xlnm._FilterDatabase" localSheetId="1" hidden="1">旧!$A$13:$S$95</definedName>
  </definedNames>
  <calcPr calcId="144525" concurrentCalc="0"/>
</workbook>
</file>

<file path=xl/comments1.xml><?xml version="1.0" encoding="utf-8"?>
<comments xmlns="http://schemas.openxmlformats.org/spreadsheetml/2006/main">
  <authors>
    <author>cw01</author>
    <author>cw05</author>
  </authors>
  <commentList>
    <comment ref="F7" authorId="0">
      <text>
        <r>
          <rPr>
            <sz val="9"/>
            <rFont val="宋体"/>
            <charset val="134"/>
          </rPr>
          <t>cw01:
增值税异地少预缴</t>
        </r>
      </text>
    </comment>
    <comment ref="F8" authorId="0">
      <text>
        <r>
          <rPr>
            <sz val="9"/>
            <rFont val="宋体"/>
            <charset val="134"/>
          </rPr>
          <t>cw01:
增值税异地少预缴</t>
        </r>
      </text>
    </comment>
    <comment ref="A109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10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cw01</author>
    <author>cw05</author>
  </authors>
  <commentList>
    <comment ref="F7" authorId="0">
      <text>
        <r>
          <rPr>
            <sz val="9"/>
            <rFont val="宋体"/>
            <charset val="134"/>
          </rPr>
          <t>cw01:
增值税异地少预缴</t>
        </r>
      </text>
    </comment>
    <comment ref="F8" authorId="0">
      <text>
        <r>
          <rPr>
            <sz val="9"/>
            <rFont val="宋体"/>
            <charset val="134"/>
          </rPr>
          <t>cw01:
增值税异地少预缴</t>
        </r>
      </text>
    </comment>
    <comment ref="A86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87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<sst xmlns="http://schemas.openxmlformats.org/spreadsheetml/2006/main" count="620" uniqueCount="145">
  <si>
    <t>C11319  绍兴市普通国道网命名编号调整工程3标段</t>
  </si>
  <si>
    <t>中标日期</t>
  </si>
  <si>
    <t>2019.5.29</t>
  </si>
  <si>
    <t>中标价</t>
  </si>
  <si>
    <t>负责人</t>
  </si>
  <si>
    <t>周恒泉</t>
  </si>
  <si>
    <t>建设单位</t>
  </si>
  <si>
    <t>绍兴市公路管理局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</si>
  <si>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</si>
  <si>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</si>
  <si>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</si>
  <si>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</si>
  <si>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</si>
  <si>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</si>
  <si>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</si>
  <si>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</si>
  <si>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</si>
  <si>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</si>
  <si>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</si>
  <si>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</si>
  <si>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</si>
  <si>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</si>
  <si>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</si>
  <si>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2020-12-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</si>
  <si>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</si>
  <si>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</si>
  <si>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</si>
  <si>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</si>
  <si>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</si>
  <si>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</si>
  <si>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</si>
  <si>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</si>
  <si>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</si>
  <si>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</si>
  <si>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</si>
  <si>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</si>
  <si>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</si>
  <si>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</si>
  <si>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</si>
  <si>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</si>
  <si>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中</t>
  </si>
  <si>
    <t>浙江金赫非融资性担保有限公司</t>
  </si>
  <si>
    <t>担保费</t>
  </si>
  <si>
    <t>徽行</t>
  </si>
  <si>
    <t>浙江宁凯混凝土有限公司</t>
  </si>
  <si>
    <t>混凝土定金</t>
  </si>
  <si>
    <t>诸暨市越宁建材有限公司</t>
  </si>
  <si>
    <t>绍兴市中富商品混凝土有限公司</t>
  </si>
  <si>
    <t>混凝土300立方米</t>
  </si>
  <si>
    <t>有</t>
  </si>
  <si>
    <t>复印件</t>
  </si>
  <si>
    <t>江苏艺迪交通工程有限公司</t>
  </si>
  <si>
    <t>标牌</t>
  </si>
  <si>
    <t>浙江银龙电力设备制造有限公司</t>
  </si>
  <si>
    <t>护栏</t>
  </si>
  <si>
    <t>苍南县富美家标牌有限公司</t>
  </si>
  <si>
    <t>标志牌</t>
  </si>
  <si>
    <t>标志牌256块</t>
  </si>
  <si>
    <t xml:space="preserve"> </t>
  </si>
  <si>
    <t>标志牌及杆件70套</t>
  </si>
  <si>
    <t>诸暨市城东钱英钢材经营部</t>
  </si>
  <si>
    <t>钢筋7.2吨</t>
  </si>
  <si>
    <t>有收据有货单，已办理结清证明</t>
  </si>
  <si>
    <t>普</t>
  </si>
  <si>
    <t>上海今卡电子科技有限公司</t>
  </si>
  <si>
    <t>标牌166套</t>
  </si>
  <si>
    <t>有收据有货单</t>
  </si>
  <si>
    <t>安徽丰途交通工程有限公司</t>
  </si>
  <si>
    <t>标志牌92块</t>
  </si>
  <si>
    <t>华安财产保险股份有限公司绍兴中心支公司</t>
  </si>
  <si>
    <t>工程一切险</t>
  </si>
  <si>
    <t>有收据</t>
  </si>
  <si>
    <t>广州市盛汇光学科技有限公司</t>
  </si>
  <si>
    <t>反光膜613.29平方米</t>
  </si>
  <si>
    <t>浙江安吉银龙金属构件制造有限公司</t>
  </si>
  <si>
    <t>标志牌42块</t>
  </si>
  <si>
    <t>单悬臂杠51套</t>
  </si>
  <si>
    <t>杭州华宏劳务分包有限公司</t>
  </si>
  <si>
    <t>劳务费</t>
  </si>
  <si>
    <t>混凝土433.5立方</t>
  </si>
  <si>
    <t>混凝土438.5立方</t>
  </si>
  <si>
    <t>标志牌105块</t>
  </si>
  <si>
    <t>有361块</t>
  </si>
  <si>
    <t>诸暨市辉腾装卸服务部</t>
  </si>
  <si>
    <t>吊车费</t>
  </si>
  <si>
    <t>诸暨市店口山前五金配件厂</t>
  </si>
  <si>
    <t>预埋螺杆1576支</t>
  </si>
  <si>
    <t>诸暨市康顺建材贸易有限公司</t>
  </si>
  <si>
    <t>钢板279件</t>
  </si>
  <si>
    <t>浙江荣得机械制造有限公司</t>
  </si>
  <si>
    <t>预埋板66件</t>
  </si>
  <si>
    <t>标志牌及杆件53套</t>
  </si>
  <si>
    <t>瑞安市会礼水泥制品厂</t>
  </si>
  <si>
    <t>百米桩550个</t>
  </si>
  <si>
    <t>有转账记录</t>
  </si>
  <si>
    <t>已办理结清证明</t>
  </si>
  <si>
    <t>住宿费</t>
  </si>
  <si>
    <t>诸暨市俞纲五金经营部</t>
  </si>
  <si>
    <t>材料款</t>
  </si>
  <si>
    <t>绍兴市公共资源交易中心</t>
  </si>
  <si>
    <t>杭州红萌科技有限公司</t>
  </si>
  <si>
    <t>技术服务费</t>
  </si>
  <si>
    <t>1份</t>
  </si>
  <si>
    <t>预埋板30件</t>
  </si>
  <si>
    <t>钢板2吨</t>
  </si>
  <si>
    <t>诸暨市城东沣裕建材经营部</t>
  </si>
  <si>
    <t>镀锌方管1.2吨</t>
  </si>
  <si>
    <t>预埋件</t>
  </si>
  <si>
    <t>钢板</t>
  </si>
  <si>
    <t>镀锌方管</t>
  </si>
  <si>
    <t>吊机</t>
  </si>
  <si>
    <t>第4次</t>
  </si>
  <si>
    <t>扣</t>
  </si>
  <si>
    <t>外经证2次*2份-500已扣(2个项目开4次*500）</t>
  </si>
  <si>
    <t>手续费</t>
  </si>
  <si>
    <t>补扣增值税及附加</t>
  </si>
  <si>
    <t>补扣2%企税（补前2次差额部分)</t>
  </si>
  <si>
    <t>企税2%</t>
  </si>
  <si>
    <t>水利基金</t>
  </si>
  <si>
    <t>增值税及附加</t>
  </si>
  <si>
    <t>付款手续费</t>
  </si>
  <si>
    <t>16次</t>
  </si>
  <si>
    <t>建造师占用费</t>
  </si>
  <si>
    <t>印花税及水利基金</t>
  </si>
  <si>
    <t>代办费</t>
  </si>
  <si>
    <t>管理费</t>
  </si>
  <si>
    <t>应提供成本</t>
  </si>
  <si>
    <t>可支付金额</t>
  </si>
  <si>
    <t>尚需提供成本</t>
  </si>
  <si>
    <t>公司代缴税金：</t>
  </si>
  <si>
    <t>税种</t>
  </si>
  <si>
    <t>税额</t>
  </si>
  <si>
    <t>19.9月开票扣税</t>
  </si>
  <si>
    <t>19.11月开票扣税</t>
  </si>
  <si>
    <t>20.12月开票扣税</t>
  </si>
  <si>
    <t>企业所得税</t>
  </si>
  <si>
    <t>增值税</t>
  </si>
  <si>
    <t>差额</t>
  </si>
  <si>
    <t>印花税</t>
  </si>
  <si>
    <t>已交</t>
  </si>
  <si>
    <t>城市维护建设税</t>
  </si>
  <si>
    <t>教育费附加</t>
  </si>
  <si>
    <t>地方教育费附加</t>
  </si>
  <si>
    <t>小计</t>
  </si>
  <si>
    <t>绍兴市普通国道网命名编号调整工程3标段</t>
  </si>
</sst>
</file>

<file path=xl/styles.xml><?xml version="1.0" encoding="utf-8"?>
<styleSheet xmlns="http://schemas.openxmlformats.org/spreadsheetml/2006/main">
  <numFmts count="10">
    <numFmt numFmtId="176" formatCode="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0_ "/>
    <numFmt numFmtId="178" formatCode="0.00_ "/>
    <numFmt numFmtId="179" formatCode="#,##0.00_ "/>
    <numFmt numFmtId="180" formatCode="yyyy&quot;年&quot;m&quot;月&quot;;@"/>
    <numFmt numFmtId="181" formatCode="#,##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1" borderId="14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33" borderId="15" applyNumberFormat="0" applyAlignment="0" applyProtection="0">
      <alignment vertical="center"/>
    </xf>
    <xf numFmtId="0" fontId="26" fillId="33" borderId="9" applyNumberFormat="0" applyAlignment="0" applyProtection="0">
      <alignment vertical="center"/>
    </xf>
    <xf numFmtId="0" fontId="15" fillId="18" borderId="10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</cellStyleXfs>
  <cellXfs count="85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vertical="center"/>
    </xf>
    <xf numFmtId="0" fontId="4" fillId="0" borderId="0" xfId="0" applyFont="1"/>
    <xf numFmtId="179" fontId="2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8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8" fontId="1" fillId="2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9" fontId="6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81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81" fontId="2" fillId="0" borderId="2" xfId="0" applyNumberFormat="1" applyFont="1" applyBorder="1" applyAlignment="1">
      <alignment horizontal="center" vertical="center"/>
    </xf>
    <xf numFmtId="9" fontId="2" fillId="5" borderId="2" xfId="11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178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8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9" fontId="2" fillId="0" borderId="2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9" fontId="6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8" fontId="2" fillId="6" borderId="2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9" fontId="4" fillId="0" borderId="0" xfId="0" applyNumberFormat="1" applyFont="1"/>
    <xf numFmtId="179" fontId="2" fillId="0" borderId="2" xfId="0" applyNumberFormat="1" applyFont="1" applyBorder="1" applyAlignment="1">
      <alignment vertical="center" wrapText="1"/>
    </xf>
    <xf numFmtId="179" fontId="2" fillId="0" borderId="2" xfId="0" applyNumberFormat="1" applyFont="1" applyFill="1" applyBorder="1" applyAlignment="1">
      <alignment vertical="center" wrapText="1"/>
    </xf>
    <xf numFmtId="179" fontId="1" fillId="2" borderId="2" xfId="0" applyNumberFormat="1" applyFont="1" applyFill="1" applyBorder="1" applyAlignment="1">
      <alignment vertical="center" wrapText="1"/>
    </xf>
    <xf numFmtId="179" fontId="6" fillId="3" borderId="2" xfId="0" applyNumberFormat="1" applyFont="1" applyFill="1" applyBorder="1" applyAlignment="1">
      <alignment vertical="center" wrapText="1"/>
    </xf>
    <xf numFmtId="179" fontId="6" fillId="0" borderId="2" xfId="0" applyNumberFormat="1" applyFont="1" applyBorder="1" applyAlignment="1">
      <alignment vertical="center" wrapText="1"/>
    </xf>
    <xf numFmtId="179" fontId="6" fillId="4" borderId="2" xfId="0" applyNumberFormat="1" applyFont="1" applyFill="1" applyBorder="1" applyAlignment="1">
      <alignment vertical="center" wrapText="1"/>
    </xf>
    <xf numFmtId="179" fontId="1" fillId="0" borderId="2" xfId="0" applyNumberFormat="1" applyFont="1" applyBorder="1" applyAlignment="1">
      <alignment vertical="center"/>
    </xf>
    <xf numFmtId="179" fontId="1" fillId="2" borderId="2" xfId="0" applyNumberFormat="1" applyFont="1" applyFill="1" applyBorder="1" applyAlignment="1">
      <alignment vertical="center"/>
    </xf>
    <xf numFmtId="179" fontId="2" fillId="2" borderId="2" xfId="0" applyNumberFormat="1" applyFont="1" applyFill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9" fontId="6" fillId="3" borderId="2" xfId="0" applyNumberFormat="1" applyFont="1" applyFill="1" applyBorder="1" applyAlignment="1">
      <alignment vertical="center"/>
    </xf>
    <xf numFmtId="179" fontId="6" fillId="4" borderId="2" xfId="0" applyNumberFormat="1" applyFont="1" applyFill="1" applyBorder="1" applyAlignment="1">
      <alignment vertical="center"/>
    </xf>
    <xf numFmtId="179" fontId="6" fillId="0" borderId="3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178" fontId="6" fillId="0" borderId="7" xfId="0" applyNumberFormat="1" applyFont="1" applyBorder="1" applyAlignment="1">
      <alignment horizontal="center" vertical="center"/>
    </xf>
    <xf numFmtId="178" fontId="2" fillId="7" borderId="2" xfId="0" applyNumberFormat="1" applyFont="1" applyFill="1" applyBorder="1" applyAlignment="1">
      <alignment vertical="center"/>
    </xf>
    <xf numFmtId="179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6"/>
  <sheetViews>
    <sheetView tabSelected="1" topLeftCell="A91" workbookViewId="0">
      <selection activeCell="K111" sqref="K111"/>
    </sheetView>
  </sheetViews>
  <sheetFormatPr defaultColWidth="9" defaultRowHeight="11.25"/>
  <cols>
    <col min="1" max="1" width="10.775" style="2" customWidth="1"/>
    <col min="2" max="2" width="13.1083333333333" style="3" customWidth="1"/>
    <col min="3" max="3" width="6" style="4" customWidth="1"/>
    <col min="4" max="4" width="14.2166666666667" style="4" customWidth="1"/>
    <col min="5" max="5" width="6" style="4" customWidth="1"/>
    <col min="6" max="6" width="13.1083333333333" style="3" customWidth="1"/>
    <col min="7" max="7" width="14.1083333333333" style="3" customWidth="1"/>
    <col min="8" max="8" width="12.6666666666667" style="4" customWidth="1"/>
    <col min="9" max="9" width="15.775" style="3" customWidth="1"/>
    <col min="10" max="10" width="6.10833333333333" style="5" customWidth="1"/>
    <col min="11" max="11" width="31.4416666666667" style="6" customWidth="1"/>
    <col min="12" max="12" width="15.625" style="6" customWidth="1"/>
    <col min="13" max="13" width="22.375" style="6" customWidth="1"/>
    <col min="14" max="14" width="13" style="6" customWidth="1"/>
    <col min="15" max="15" width="28.5" style="6" customWidth="1"/>
    <col min="16" max="16384" width="9" style="6"/>
  </cols>
  <sheetData>
    <row r="1" ht="21.9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 t="s">
        <v>2</v>
      </c>
      <c r="C2" s="11" t="s">
        <v>3</v>
      </c>
      <c r="D2" s="66">
        <v>7451431</v>
      </c>
      <c r="E2" s="13" t="s">
        <v>4</v>
      </c>
      <c r="F2" s="14" t="s">
        <v>5</v>
      </c>
      <c r="G2" s="15" t="s">
        <v>6</v>
      </c>
      <c r="H2" s="16" t="s">
        <v>7</v>
      </c>
      <c r="I2" s="43"/>
      <c r="J2" s="44"/>
      <c r="K2" s="18"/>
      <c r="L2" s="18"/>
    </row>
    <row r="3" ht="18" customHeight="1" spans="1:12">
      <c r="A3" s="9" t="s">
        <v>8</v>
      </c>
      <c r="B3" s="17"/>
      <c r="C3" s="11" t="s">
        <v>9</v>
      </c>
      <c r="D3" s="11">
        <v>5799568</v>
      </c>
      <c r="H3" s="18"/>
      <c r="I3" s="45"/>
      <c r="J3" s="18"/>
      <c r="K3" s="18"/>
      <c r="L3" s="18"/>
    </row>
    <row r="4" ht="18" customHeight="1" spans="1:12">
      <c r="A4" s="2" t="s">
        <v>10</v>
      </c>
      <c r="D4" s="4">
        <f>D2-D3</f>
        <v>1651863</v>
      </c>
      <c r="H4" s="18"/>
      <c r="I4" s="45"/>
      <c r="J4" s="18"/>
      <c r="K4" s="18"/>
      <c r="L4" s="18"/>
    </row>
    <row r="5" ht="18" customHeight="1" spans="1:10">
      <c r="A5" s="19" t="s">
        <v>11</v>
      </c>
      <c r="B5" s="20" t="s">
        <v>12</v>
      </c>
      <c r="C5" s="19" t="s">
        <v>13</v>
      </c>
      <c r="D5" s="19"/>
      <c r="E5" s="19" t="s">
        <v>14</v>
      </c>
      <c r="F5" s="20"/>
      <c r="G5" s="20" t="s">
        <v>15</v>
      </c>
      <c r="H5" s="21" t="s">
        <v>16</v>
      </c>
      <c r="I5" s="20"/>
      <c r="J5" s="21"/>
    </row>
    <row r="6" ht="18" customHeight="1" spans="1:10">
      <c r="A6" s="19"/>
      <c r="B6" s="20"/>
      <c r="C6" s="19" t="s">
        <v>17</v>
      </c>
      <c r="D6" s="19" t="s">
        <v>18</v>
      </c>
      <c r="E6" s="19" t="s">
        <v>17</v>
      </c>
      <c r="F6" s="20" t="s">
        <v>18</v>
      </c>
      <c r="G6" s="20"/>
      <c r="H6" s="21" t="s">
        <v>19</v>
      </c>
      <c r="I6" s="20" t="s">
        <v>20</v>
      </c>
      <c r="J6" s="21" t="s">
        <v>21</v>
      </c>
    </row>
    <row r="7" ht="18" customHeight="1" spans="1:15">
      <c r="A7" s="22">
        <v>43731</v>
      </c>
      <c r="B7" s="67">
        <f t="shared" ref="B7:B12" si="0">G7/(1+C7+E7)</f>
        <v>1242265.13761468</v>
      </c>
      <c r="C7" s="24">
        <v>0.02</v>
      </c>
      <c r="D7" s="68">
        <f t="shared" ref="D7:D12" si="1">G7/(1+E7+C7)*C7</f>
        <v>24845.3027522936</v>
      </c>
      <c r="E7" s="26">
        <v>0.07</v>
      </c>
      <c r="F7" s="11">
        <f>G7/(1+C7+E7)*E7+9045.38</f>
        <v>96003.9396330275</v>
      </c>
      <c r="G7" s="69">
        <v>1354069</v>
      </c>
      <c r="H7" s="22">
        <v>43735</v>
      </c>
      <c r="I7" s="11">
        <v>1354069</v>
      </c>
      <c r="J7" s="46" t="s">
        <v>22</v>
      </c>
      <c r="O7" s="3"/>
    </row>
    <row r="8" ht="18" customHeight="1" spans="1:15">
      <c r="A8" s="22">
        <v>43731</v>
      </c>
      <c r="B8" s="67">
        <f t="shared" si="0"/>
        <v>2722159.63302752</v>
      </c>
      <c r="C8" s="24">
        <v>0.02</v>
      </c>
      <c r="D8" s="68">
        <f t="shared" si="1"/>
        <v>54443.1926605505</v>
      </c>
      <c r="E8" s="26">
        <v>0.07</v>
      </c>
      <c r="F8" s="23">
        <f>G8/(1+C8+E8)*E8+20223.37</f>
        <v>210774.544311927</v>
      </c>
      <c r="G8" s="69">
        <v>2967154</v>
      </c>
      <c r="H8" s="22">
        <v>43735</v>
      </c>
      <c r="I8" s="11">
        <v>2967154</v>
      </c>
      <c r="J8" s="46" t="s">
        <v>22</v>
      </c>
      <c r="O8" s="3"/>
    </row>
    <row r="9" ht="18" customHeight="1" spans="1:10">
      <c r="A9" s="22">
        <v>43790</v>
      </c>
      <c r="B9" s="67">
        <f t="shared" si="0"/>
        <v>1244653.16513761</v>
      </c>
      <c r="C9" s="24">
        <v>0.02</v>
      </c>
      <c r="D9" s="68">
        <f t="shared" si="1"/>
        <v>24893.0633027523</v>
      </c>
      <c r="E9" s="26">
        <v>0.07</v>
      </c>
      <c r="F9" s="67">
        <f t="shared" ref="F9:F12" si="2">G9/(1+C9+E9)*E9</f>
        <v>87125.721559633</v>
      </c>
      <c r="G9" s="69">
        <v>1356671.95</v>
      </c>
      <c r="H9" s="22">
        <v>43797</v>
      </c>
      <c r="I9" s="11">
        <v>1356671.95</v>
      </c>
      <c r="J9" s="46" t="s">
        <v>22</v>
      </c>
    </row>
    <row r="10" ht="18" customHeight="1" spans="1:10">
      <c r="A10" s="22" t="s">
        <v>23</v>
      </c>
      <c r="B10" s="67">
        <f t="shared" si="0"/>
        <v>26339.8623853211</v>
      </c>
      <c r="C10" s="26">
        <v>0.02</v>
      </c>
      <c r="D10" s="68">
        <f t="shared" si="1"/>
        <v>526.797247706422</v>
      </c>
      <c r="E10" s="26">
        <v>0.07</v>
      </c>
      <c r="F10" s="67">
        <f t="shared" si="2"/>
        <v>1843.79036697248</v>
      </c>
      <c r="G10" s="69">
        <v>28710.45</v>
      </c>
      <c r="H10" s="22">
        <v>44179</v>
      </c>
      <c r="I10" s="11">
        <v>121673.05</v>
      </c>
      <c r="J10" s="46" t="s">
        <v>24</v>
      </c>
    </row>
    <row r="11" ht="18" customHeight="1" spans="1:10">
      <c r="A11" s="22" t="s">
        <v>23</v>
      </c>
      <c r="B11" s="67">
        <f t="shared" si="0"/>
        <v>85286.7889908257</v>
      </c>
      <c r="C11" s="26">
        <v>0.02</v>
      </c>
      <c r="D11" s="68">
        <f t="shared" si="1"/>
        <v>1705.73577981651</v>
      </c>
      <c r="E11" s="26">
        <v>0.07</v>
      </c>
      <c r="F11" s="67">
        <f t="shared" si="2"/>
        <v>5970.0752293578</v>
      </c>
      <c r="G11" s="69">
        <v>92962.6</v>
      </c>
      <c r="H11" s="22"/>
      <c r="I11" s="11"/>
      <c r="J11" s="46"/>
    </row>
    <row r="12" ht="18" customHeight="1" spans="1:10">
      <c r="A12" s="22"/>
      <c r="B12" s="67">
        <f t="shared" si="0"/>
        <v>0</v>
      </c>
      <c r="C12" s="24">
        <v>0.02</v>
      </c>
      <c r="D12" s="68">
        <f t="shared" si="1"/>
        <v>0</v>
      </c>
      <c r="E12" s="26">
        <v>0.07</v>
      </c>
      <c r="F12" s="67">
        <f t="shared" si="2"/>
        <v>0</v>
      </c>
      <c r="G12" s="69"/>
      <c r="H12" s="22"/>
      <c r="I12" s="11"/>
      <c r="J12" s="46"/>
    </row>
    <row r="13" ht="18" customHeight="1" spans="1:10">
      <c r="A13" s="28" t="s">
        <v>25</v>
      </c>
      <c r="B13" s="70">
        <f>SUM(B7:B12)</f>
        <v>5320704.58715596</v>
      </c>
      <c r="C13" s="30"/>
      <c r="D13" s="71">
        <f>SUM(D7:D12)</f>
        <v>106414.091743119</v>
      </c>
      <c r="E13" s="30"/>
      <c r="F13" s="72">
        <f>SUM(F7:F12)</f>
        <v>401718.071100917</v>
      </c>
      <c r="G13" s="71">
        <f>SUM(G7:G12)</f>
        <v>5799568</v>
      </c>
      <c r="H13" s="33"/>
      <c r="I13" s="30">
        <f>SUM(I7:I12)</f>
        <v>5799568</v>
      </c>
      <c r="J13" s="33"/>
    </row>
    <row r="14" ht="18" customHeight="1" spans="1:12">
      <c r="A14" s="2" t="s">
        <v>26</v>
      </c>
      <c r="I14" s="76"/>
      <c r="J14" s="4"/>
      <c r="K14" s="4"/>
      <c r="L14" s="5"/>
    </row>
    <row r="15" ht="18" customHeight="1" spans="1:15">
      <c r="A15" s="34" t="s">
        <v>27</v>
      </c>
      <c r="B15" s="20" t="s">
        <v>28</v>
      </c>
      <c r="C15" s="19" t="s">
        <v>29</v>
      </c>
      <c r="D15" s="19" t="s">
        <v>30</v>
      </c>
      <c r="E15" s="19" t="s">
        <v>17</v>
      </c>
      <c r="F15" s="20" t="s">
        <v>31</v>
      </c>
      <c r="G15" s="20" t="s">
        <v>15</v>
      </c>
      <c r="H15" s="19" t="s">
        <v>32</v>
      </c>
      <c r="I15" s="20" t="s">
        <v>33</v>
      </c>
      <c r="J15" s="19" t="s">
        <v>21</v>
      </c>
      <c r="K15" s="47" t="s">
        <v>34</v>
      </c>
      <c r="L15" s="21" t="s">
        <v>35</v>
      </c>
      <c r="M15" s="21" t="s">
        <v>36</v>
      </c>
      <c r="N15" s="21" t="s">
        <v>37</v>
      </c>
      <c r="O15" s="21" t="s">
        <v>38</v>
      </c>
    </row>
    <row r="16" s="1" customFormat="1" ht="18" customHeight="1" spans="1:15">
      <c r="A16" s="35">
        <v>43709</v>
      </c>
      <c r="B16" s="73">
        <f t="shared" ref="B16:B30" si="3">ROUND(G16/(1+E16),2)</f>
        <v>9708.74</v>
      </c>
      <c r="C16" s="36"/>
      <c r="D16" s="37" t="s">
        <v>39</v>
      </c>
      <c r="E16" s="38">
        <v>0.03</v>
      </c>
      <c r="F16" s="73">
        <f t="shared" ref="F16:F30" si="4">ROUND(G16/(1+E16)*E16,2)</f>
        <v>291.26</v>
      </c>
      <c r="G16" s="74">
        <v>10000</v>
      </c>
      <c r="H16" s="22">
        <v>43630</v>
      </c>
      <c r="I16" s="11">
        <v>10000</v>
      </c>
      <c r="J16" s="46" t="s">
        <v>40</v>
      </c>
      <c r="K16" s="48" t="s">
        <v>41</v>
      </c>
      <c r="L16" s="49" t="s">
        <v>42</v>
      </c>
      <c r="M16" s="50"/>
      <c r="N16" s="50"/>
      <c r="O16" s="49"/>
    </row>
    <row r="17" s="1" customFormat="1" ht="18" customHeight="1" spans="1:15">
      <c r="A17" s="35"/>
      <c r="B17" s="73">
        <f t="shared" si="3"/>
        <v>0</v>
      </c>
      <c r="C17" s="36"/>
      <c r="D17" s="37"/>
      <c r="E17" s="39"/>
      <c r="F17" s="73">
        <f t="shared" si="4"/>
        <v>0</v>
      </c>
      <c r="G17" s="74"/>
      <c r="H17" s="22">
        <v>43630</v>
      </c>
      <c r="I17" s="11">
        <v>-10000</v>
      </c>
      <c r="J17" s="46" t="s">
        <v>43</v>
      </c>
      <c r="K17" s="48" t="s">
        <v>5</v>
      </c>
      <c r="L17" s="49"/>
      <c r="M17" s="50"/>
      <c r="N17" s="50"/>
      <c r="O17" s="49"/>
    </row>
    <row r="18" s="1" customFormat="1" ht="18" customHeight="1" spans="1:15">
      <c r="A18" s="35"/>
      <c r="B18" s="73">
        <f t="shared" si="3"/>
        <v>0</v>
      </c>
      <c r="C18" s="36"/>
      <c r="D18" s="37"/>
      <c r="E18" s="39"/>
      <c r="F18" s="73">
        <f t="shared" si="4"/>
        <v>0</v>
      </c>
      <c r="G18" s="74"/>
      <c r="H18" s="22">
        <v>43634</v>
      </c>
      <c r="I18" s="11">
        <v>100000</v>
      </c>
      <c r="J18" s="46" t="s">
        <v>40</v>
      </c>
      <c r="K18" s="48" t="s">
        <v>44</v>
      </c>
      <c r="L18" s="49" t="s">
        <v>45</v>
      </c>
      <c r="M18" s="50"/>
      <c r="N18" s="50"/>
      <c r="O18" s="49"/>
    </row>
    <row r="19" s="1" customFormat="1" ht="18" customHeight="1" spans="1:15">
      <c r="A19" s="35"/>
      <c r="B19" s="73">
        <f t="shared" si="3"/>
        <v>0</v>
      </c>
      <c r="C19" s="36"/>
      <c r="D19" s="37"/>
      <c r="E19" s="39"/>
      <c r="F19" s="73">
        <f t="shared" si="4"/>
        <v>0</v>
      </c>
      <c r="G19" s="74"/>
      <c r="H19" s="22">
        <v>43634</v>
      </c>
      <c r="I19" s="11">
        <v>-100000</v>
      </c>
      <c r="J19" s="46" t="s">
        <v>43</v>
      </c>
      <c r="K19" s="48" t="s">
        <v>5</v>
      </c>
      <c r="L19" s="49"/>
      <c r="M19" s="50"/>
      <c r="N19" s="50"/>
      <c r="O19" s="49"/>
    </row>
    <row r="20" s="1" customFormat="1" ht="18" customHeight="1" spans="1:15">
      <c r="A20" s="35"/>
      <c r="B20" s="73">
        <f t="shared" si="3"/>
        <v>0</v>
      </c>
      <c r="C20" s="36"/>
      <c r="D20" s="37"/>
      <c r="E20" s="39"/>
      <c r="F20" s="73">
        <f t="shared" si="4"/>
        <v>0</v>
      </c>
      <c r="G20" s="74"/>
      <c r="H20" s="22">
        <v>43642</v>
      </c>
      <c r="I20" s="11">
        <v>100000</v>
      </c>
      <c r="J20" s="46" t="s">
        <v>40</v>
      </c>
      <c r="K20" s="48" t="s">
        <v>46</v>
      </c>
      <c r="L20" s="49" t="s">
        <v>45</v>
      </c>
      <c r="M20" s="50"/>
      <c r="N20" s="50"/>
      <c r="O20" s="49"/>
    </row>
    <row r="21" s="1" customFormat="1" ht="18" customHeight="1" spans="1:15">
      <c r="A21" s="35"/>
      <c r="B21" s="73">
        <f t="shared" si="3"/>
        <v>0</v>
      </c>
      <c r="C21" s="36"/>
      <c r="D21" s="37"/>
      <c r="E21" s="39"/>
      <c r="F21" s="73">
        <f t="shared" si="4"/>
        <v>0</v>
      </c>
      <c r="G21" s="74"/>
      <c r="H21" s="22">
        <v>43642</v>
      </c>
      <c r="I21" s="11">
        <v>-100000</v>
      </c>
      <c r="J21" s="46" t="s">
        <v>43</v>
      </c>
      <c r="K21" s="48" t="s">
        <v>5</v>
      </c>
      <c r="L21" s="49"/>
      <c r="M21" s="50"/>
      <c r="N21" s="50"/>
      <c r="O21" s="49"/>
    </row>
    <row r="22" s="1" customFormat="1" ht="18" customHeight="1" spans="1:15">
      <c r="A22" s="35">
        <v>43709</v>
      </c>
      <c r="B22" s="73">
        <f t="shared" si="3"/>
        <v>145631.07</v>
      </c>
      <c r="C22" s="36"/>
      <c r="D22" s="37" t="s">
        <v>39</v>
      </c>
      <c r="E22" s="38">
        <v>0.03</v>
      </c>
      <c r="F22" s="73">
        <f t="shared" si="4"/>
        <v>4368.93</v>
      </c>
      <c r="G22" s="74">
        <v>150000</v>
      </c>
      <c r="H22" s="22">
        <v>43642</v>
      </c>
      <c r="I22" s="11">
        <v>150000</v>
      </c>
      <c r="J22" s="46" t="s">
        <v>40</v>
      </c>
      <c r="K22" s="48" t="s">
        <v>47</v>
      </c>
      <c r="L22" s="49" t="s">
        <v>48</v>
      </c>
      <c r="M22" s="50" t="s">
        <v>49</v>
      </c>
      <c r="N22" s="50" t="s">
        <v>50</v>
      </c>
      <c r="O22" s="49"/>
    </row>
    <row r="23" s="1" customFormat="1" ht="18" customHeight="1" spans="1:15">
      <c r="A23" s="35"/>
      <c r="B23" s="73">
        <f t="shared" si="3"/>
        <v>0</v>
      </c>
      <c r="C23" s="36"/>
      <c r="D23" s="37"/>
      <c r="E23" s="39"/>
      <c r="F23" s="73">
        <f t="shared" si="4"/>
        <v>0</v>
      </c>
      <c r="G23" s="74"/>
      <c r="H23" s="22">
        <v>43642</v>
      </c>
      <c r="I23" s="11">
        <v>-150000</v>
      </c>
      <c r="J23" s="46" t="s">
        <v>43</v>
      </c>
      <c r="K23" s="48" t="s">
        <v>5</v>
      </c>
      <c r="L23" s="49"/>
      <c r="M23" s="50"/>
      <c r="N23" s="50"/>
      <c r="O23" s="49"/>
    </row>
    <row r="24" s="1" customFormat="1" ht="18" customHeight="1" spans="1:15">
      <c r="A24" s="35"/>
      <c r="B24" s="73">
        <f t="shared" si="3"/>
        <v>0</v>
      </c>
      <c r="C24" s="36"/>
      <c r="D24" s="37"/>
      <c r="E24" s="39"/>
      <c r="F24" s="73">
        <f t="shared" si="4"/>
        <v>0</v>
      </c>
      <c r="G24" s="74"/>
      <c r="H24" s="22">
        <v>43651</v>
      </c>
      <c r="I24" s="11">
        <v>150000</v>
      </c>
      <c r="J24" s="46" t="s">
        <v>40</v>
      </c>
      <c r="K24" s="48" t="s">
        <v>51</v>
      </c>
      <c r="L24" s="49" t="s">
        <v>52</v>
      </c>
      <c r="M24" s="50"/>
      <c r="N24" s="50"/>
      <c r="O24" s="49"/>
    </row>
    <row r="25" s="1" customFormat="1" ht="18" customHeight="1" spans="1:15">
      <c r="A25" s="35"/>
      <c r="B25" s="73">
        <f t="shared" si="3"/>
        <v>0</v>
      </c>
      <c r="C25" s="36"/>
      <c r="D25" s="37"/>
      <c r="E25" s="39"/>
      <c r="F25" s="73">
        <f t="shared" si="4"/>
        <v>0</v>
      </c>
      <c r="G25" s="74"/>
      <c r="H25" s="22">
        <v>43651</v>
      </c>
      <c r="I25" s="11">
        <v>-150000</v>
      </c>
      <c r="J25" s="46" t="s">
        <v>43</v>
      </c>
      <c r="K25" s="48" t="s">
        <v>5</v>
      </c>
      <c r="L25" s="49"/>
      <c r="M25" s="50"/>
      <c r="N25" s="50"/>
      <c r="O25" s="49"/>
    </row>
    <row r="26" s="1" customFormat="1" ht="18" customHeight="1" spans="1:15">
      <c r="A26" s="35"/>
      <c r="B26" s="73">
        <f t="shared" si="3"/>
        <v>0</v>
      </c>
      <c r="C26" s="36"/>
      <c r="D26" s="37"/>
      <c r="E26" s="39"/>
      <c r="F26" s="73">
        <f t="shared" si="4"/>
        <v>0</v>
      </c>
      <c r="G26" s="74"/>
      <c r="H26" s="22">
        <v>43654</v>
      </c>
      <c r="I26" s="11">
        <v>250000</v>
      </c>
      <c r="J26" s="46" t="s">
        <v>40</v>
      </c>
      <c r="K26" s="48" t="s">
        <v>53</v>
      </c>
      <c r="L26" s="49" t="s">
        <v>54</v>
      </c>
      <c r="M26" s="50"/>
      <c r="N26" s="50"/>
      <c r="O26" s="49"/>
    </row>
    <row r="27" s="1" customFormat="1" ht="18" customHeight="1" spans="1:15">
      <c r="A27" s="35"/>
      <c r="B27" s="73">
        <f t="shared" si="3"/>
        <v>0</v>
      </c>
      <c r="C27" s="36"/>
      <c r="D27" s="37"/>
      <c r="E27" s="39"/>
      <c r="F27" s="73">
        <f t="shared" si="4"/>
        <v>0</v>
      </c>
      <c r="G27" s="74"/>
      <c r="H27" s="22">
        <v>43654</v>
      </c>
      <c r="I27" s="11">
        <v>-250000</v>
      </c>
      <c r="J27" s="46" t="s">
        <v>43</v>
      </c>
      <c r="K27" s="48" t="s">
        <v>5</v>
      </c>
      <c r="L27" s="49"/>
      <c r="M27" s="50"/>
      <c r="N27" s="50"/>
      <c r="O27" s="49"/>
    </row>
    <row r="28" s="1" customFormat="1" ht="18" customHeight="1" spans="1:15">
      <c r="A28" s="35"/>
      <c r="B28" s="73">
        <f t="shared" si="3"/>
        <v>0</v>
      </c>
      <c r="C28" s="36"/>
      <c r="D28" s="37"/>
      <c r="E28" s="39"/>
      <c r="F28" s="73">
        <f t="shared" si="4"/>
        <v>0</v>
      </c>
      <c r="G28" s="74"/>
      <c r="H28" s="22">
        <v>43656</v>
      </c>
      <c r="I28" s="11">
        <v>300000</v>
      </c>
      <c r="J28" s="46" t="s">
        <v>40</v>
      </c>
      <c r="K28" s="48" t="s">
        <v>53</v>
      </c>
      <c r="L28" s="49" t="s">
        <v>54</v>
      </c>
      <c r="M28" s="50"/>
      <c r="N28" s="50"/>
      <c r="O28" s="49"/>
    </row>
    <row r="29" s="1" customFormat="1" ht="18" customHeight="1" spans="1:15">
      <c r="A29" s="35"/>
      <c r="B29" s="73">
        <f t="shared" si="3"/>
        <v>0</v>
      </c>
      <c r="C29" s="36"/>
      <c r="D29" s="37"/>
      <c r="E29" s="39"/>
      <c r="F29" s="73">
        <f t="shared" si="4"/>
        <v>0</v>
      </c>
      <c r="G29" s="74"/>
      <c r="H29" s="22">
        <v>43656</v>
      </c>
      <c r="I29" s="11">
        <v>-300000</v>
      </c>
      <c r="J29" s="46" t="s">
        <v>43</v>
      </c>
      <c r="K29" s="48" t="s">
        <v>5</v>
      </c>
      <c r="L29" s="49"/>
      <c r="M29" s="50"/>
      <c r="N29" s="50"/>
      <c r="O29" s="49"/>
    </row>
    <row r="30" s="1" customFormat="1" ht="18" customHeight="1" spans="1:15">
      <c r="A30" s="35"/>
      <c r="B30" s="73">
        <f t="shared" si="3"/>
        <v>0</v>
      </c>
      <c r="C30" s="36"/>
      <c r="D30" s="37"/>
      <c r="E30" s="39"/>
      <c r="F30" s="73">
        <f t="shared" si="4"/>
        <v>0</v>
      </c>
      <c r="G30" s="74"/>
      <c r="H30" s="22">
        <v>43663</v>
      </c>
      <c r="I30" s="11">
        <v>250000</v>
      </c>
      <c r="J30" s="46" t="s">
        <v>40</v>
      </c>
      <c r="K30" s="48" t="s">
        <v>55</v>
      </c>
      <c r="L30" s="49" t="s">
        <v>56</v>
      </c>
      <c r="M30" s="50"/>
      <c r="N30" s="50"/>
      <c r="O30" s="49"/>
    </row>
    <row r="31" s="1" customFormat="1" ht="18" customHeight="1" spans="1:15">
      <c r="A31" s="35"/>
      <c r="B31" s="73"/>
      <c r="C31" s="36"/>
      <c r="D31" s="37"/>
      <c r="E31" s="39"/>
      <c r="F31" s="73"/>
      <c r="G31" s="74"/>
      <c r="H31" s="22">
        <v>43663</v>
      </c>
      <c r="I31" s="11">
        <v>-250000</v>
      </c>
      <c r="J31" s="46" t="s">
        <v>43</v>
      </c>
      <c r="K31" s="48" t="s">
        <v>5</v>
      </c>
      <c r="L31" s="49"/>
      <c r="M31" s="50"/>
      <c r="N31" s="50"/>
      <c r="O31" s="49"/>
    </row>
    <row r="32" s="1" customFormat="1" ht="18" customHeight="1" spans="1:19">
      <c r="A32" s="35">
        <v>43709</v>
      </c>
      <c r="B32" s="73">
        <f t="shared" ref="B32:B70" si="5">ROUND(G32/(1+E32),2)</f>
        <v>389380.53</v>
      </c>
      <c r="C32" s="36"/>
      <c r="D32" s="37" t="s">
        <v>39</v>
      </c>
      <c r="E32" s="38">
        <v>0.13</v>
      </c>
      <c r="F32" s="73">
        <f t="shared" ref="F32:F70" si="6">ROUND(G32/(1+E32)*E32,2)</f>
        <v>50619.47</v>
      </c>
      <c r="G32" s="74">
        <f>89375+87656.25*4</f>
        <v>440000</v>
      </c>
      <c r="H32" s="22">
        <v>43665</v>
      </c>
      <c r="I32" s="11">
        <v>190000</v>
      </c>
      <c r="J32" s="46" t="s">
        <v>40</v>
      </c>
      <c r="K32" s="48" t="s">
        <v>55</v>
      </c>
      <c r="L32" s="49" t="s">
        <v>57</v>
      </c>
      <c r="M32" s="50" t="s">
        <v>49</v>
      </c>
      <c r="N32" s="50" t="s">
        <v>49</v>
      </c>
      <c r="O32" s="49"/>
      <c r="S32" s="1" t="s">
        <v>58</v>
      </c>
    </row>
    <row r="33" s="1" customFormat="1" ht="18" customHeight="1" spans="1:15">
      <c r="A33" s="35"/>
      <c r="B33" s="73"/>
      <c r="C33" s="36"/>
      <c r="D33" s="37"/>
      <c r="E33" s="39"/>
      <c r="F33" s="73"/>
      <c r="G33" s="74"/>
      <c r="H33" s="22">
        <v>43665</v>
      </c>
      <c r="I33" s="11">
        <v>-190000</v>
      </c>
      <c r="J33" s="46" t="s">
        <v>43</v>
      </c>
      <c r="K33" s="48" t="s">
        <v>5</v>
      </c>
      <c r="L33" s="49"/>
      <c r="M33" s="50"/>
      <c r="N33" s="50"/>
      <c r="O33" s="49"/>
    </row>
    <row r="34" s="1" customFormat="1" ht="18" customHeight="1" spans="1:15">
      <c r="A34" s="35"/>
      <c r="B34" s="73">
        <f t="shared" si="5"/>
        <v>0</v>
      </c>
      <c r="C34" s="36"/>
      <c r="D34" s="37"/>
      <c r="E34" s="39"/>
      <c r="F34" s="73">
        <f t="shared" si="6"/>
        <v>0</v>
      </c>
      <c r="G34" s="74"/>
      <c r="H34" s="22">
        <v>43676</v>
      </c>
      <c r="I34" s="11">
        <v>150000</v>
      </c>
      <c r="J34" s="46" t="s">
        <v>40</v>
      </c>
      <c r="K34" s="48" t="s">
        <v>51</v>
      </c>
      <c r="L34" s="49" t="s">
        <v>52</v>
      </c>
      <c r="M34" s="50"/>
      <c r="N34" s="50"/>
      <c r="O34" s="49"/>
    </row>
    <row r="35" s="1" customFormat="1" ht="18" customHeight="1" spans="1:15">
      <c r="A35" s="35"/>
      <c r="B35" s="73">
        <f t="shared" si="5"/>
        <v>0</v>
      </c>
      <c r="C35" s="36"/>
      <c r="D35" s="37"/>
      <c r="E35" s="39"/>
      <c r="F35" s="73">
        <f t="shared" si="6"/>
        <v>0</v>
      </c>
      <c r="G35" s="74"/>
      <c r="H35" s="22">
        <v>43676</v>
      </c>
      <c r="I35" s="11">
        <v>-150000</v>
      </c>
      <c r="J35" s="46" t="s">
        <v>43</v>
      </c>
      <c r="K35" s="48" t="s">
        <v>5</v>
      </c>
      <c r="L35" s="49"/>
      <c r="M35" s="50"/>
      <c r="N35" s="50"/>
      <c r="O35" s="49"/>
    </row>
    <row r="36" s="1" customFormat="1" ht="18" customHeight="1" spans="1:15">
      <c r="A36" s="35">
        <v>43709</v>
      </c>
      <c r="B36" s="73">
        <f t="shared" si="5"/>
        <v>707614.87</v>
      </c>
      <c r="C36" s="36"/>
      <c r="D36" s="37" t="s">
        <v>39</v>
      </c>
      <c r="E36" s="38">
        <v>0.13</v>
      </c>
      <c r="F36" s="73">
        <f t="shared" si="6"/>
        <v>91989.93</v>
      </c>
      <c r="G36" s="74">
        <v>799604.8</v>
      </c>
      <c r="H36" s="22">
        <v>43728</v>
      </c>
      <c r="I36" s="11">
        <v>150000</v>
      </c>
      <c r="J36" s="46" t="s">
        <v>40</v>
      </c>
      <c r="K36" s="48" t="s">
        <v>51</v>
      </c>
      <c r="L36" s="49" t="s">
        <v>59</v>
      </c>
      <c r="M36" s="50" t="s">
        <v>49</v>
      </c>
      <c r="N36" s="50" t="s">
        <v>49</v>
      </c>
      <c r="O36" s="49"/>
    </row>
    <row r="37" s="1" customFormat="1" ht="18" customHeight="1" spans="1:15">
      <c r="A37" s="35"/>
      <c r="B37" s="73">
        <f t="shared" si="5"/>
        <v>0</v>
      </c>
      <c r="C37" s="36"/>
      <c r="D37" s="37"/>
      <c r="E37" s="39"/>
      <c r="F37" s="73">
        <f t="shared" si="6"/>
        <v>0</v>
      </c>
      <c r="G37" s="74"/>
      <c r="H37" s="22">
        <v>43728</v>
      </c>
      <c r="I37" s="11">
        <v>-150000</v>
      </c>
      <c r="J37" s="46" t="s">
        <v>43</v>
      </c>
      <c r="K37" s="48" t="s">
        <v>5</v>
      </c>
      <c r="L37" s="49"/>
      <c r="M37" s="50"/>
      <c r="N37" s="50"/>
      <c r="O37" s="49"/>
    </row>
    <row r="38" s="1" customFormat="1" ht="18" customHeight="1" spans="1:15">
      <c r="A38" s="35">
        <v>43709</v>
      </c>
      <c r="B38" s="73">
        <f t="shared" si="5"/>
        <v>31078.64</v>
      </c>
      <c r="C38" s="36"/>
      <c r="D38" s="37" t="s">
        <v>39</v>
      </c>
      <c r="E38" s="38">
        <v>0.03</v>
      </c>
      <c r="F38" s="73">
        <f t="shared" si="6"/>
        <v>932.36</v>
      </c>
      <c r="G38" s="74">
        <v>32011</v>
      </c>
      <c r="H38" s="22"/>
      <c r="I38" s="11"/>
      <c r="J38" s="46"/>
      <c r="K38" s="48" t="s">
        <v>60</v>
      </c>
      <c r="L38" s="49" t="s">
        <v>61</v>
      </c>
      <c r="M38" s="50"/>
      <c r="N38" s="50"/>
      <c r="O38" s="49" t="s">
        <v>62</v>
      </c>
    </row>
    <row r="39" s="1" customFormat="1" ht="18" customHeight="1" spans="1:15">
      <c r="A39" s="35">
        <v>43709</v>
      </c>
      <c r="B39" s="73">
        <f t="shared" si="5"/>
        <v>6944</v>
      </c>
      <c r="C39" s="36"/>
      <c r="D39" s="37" t="s">
        <v>63</v>
      </c>
      <c r="E39" s="39"/>
      <c r="F39" s="73">
        <f t="shared" si="6"/>
        <v>0</v>
      </c>
      <c r="G39" s="74">
        <v>6944</v>
      </c>
      <c r="H39" s="22"/>
      <c r="I39" s="11"/>
      <c r="J39" s="46"/>
      <c r="K39" s="48" t="s">
        <v>64</v>
      </c>
      <c r="L39" s="49" t="s">
        <v>65</v>
      </c>
      <c r="M39" s="50"/>
      <c r="N39" s="50"/>
      <c r="O39" s="49" t="s">
        <v>66</v>
      </c>
    </row>
    <row r="40" s="1" customFormat="1" ht="18" customHeight="1" spans="1:15">
      <c r="A40" s="35">
        <v>43709</v>
      </c>
      <c r="B40" s="73">
        <f t="shared" si="5"/>
        <v>6187.61</v>
      </c>
      <c r="C40" s="36"/>
      <c r="D40" s="37" t="s">
        <v>39</v>
      </c>
      <c r="E40" s="38">
        <v>0.13</v>
      </c>
      <c r="F40" s="73">
        <f t="shared" si="6"/>
        <v>804.39</v>
      </c>
      <c r="G40" s="74">
        <v>6992</v>
      </c>
      <c r="H40" s="22"/>
      <c r="I40" s="11"/>
      <c r="J40" s="46"/>
      <c r="K40" s="48" t="s">
        <v>67</v>
      </c>
      <c r="L40" s="49" t="s">
        <v>68</v>
      </c>
      <c r="M40" s="50"/>
      <c r="N40" s="50"/>
      <c r="O40" s="49" t="s">
        <v>66</v>
      </c>
    </row>
    <row r="41" s="1" customFormat="1" ht="18" customHeight="1" spans="1:15">
      <c r="A41" s="35">
        <v>43709</v>
      </c>
      <c r="B41" s="73">
        <f t="shared" si="5"/>
        <v>30081.13</v>
      </c>
      <c r="C41" s="36"/>
      <c r="D41" s="37" t="s">
        <v>39</v>
      </c>
      <c r="E41" s="38">
        <v>0.06</v>
      </c>
      <c r="F41" s="73">
        <f t="shared" si="6"/>
        <v>1804.87</v>
      </c>
      <c r="G41" s="74">
        <f>13852+18034</f>
        <v>31886</v>
      </c>
      <c r="H41" s="22"/>
      <c r="I41" s="11"/>
      <c r="J41" s="46"/>
      <c r="K41" s="48" t="s">
        <v>69</v>
      </c>
      <c r="L41" s="49" t="s">
        <v>70</v>
      </c>
      <c r="M41" s="50"/>
      <c r="N41" s="50"/>
      <c r="O41" s="49" t="s">
        <v>71</v>
      </c>
    </row>
    <row r="42" s="1" customFormat="1" ht="18" customHeight="1" spans="1:15">
      <c r="A42" s="35">
        <v>43709</v>
      </c>
      <c r="B42" s="73">
        <f t="shared" si="5"/>
        <v>49931.9</v>
      </c>
      <c r="C42" s="36"/>
      <c r="D42" s="37" t="s">
        <v>39</v>
      </c>
      <c r="E42" s="38">
        <v>0.13</v>
      </c>
      <c r="F42" s="73">
        <f t="shared" si="6"/>
        <v>6491.15</v>
      </c>
      <c r="G42" s="74">
        <v>56423.05</v>
      </c>
      <c r="H42" s="22">
        <v>43738</v>
      </c>
      <c r="I42" s="51">
        <v>56423.05</v>
      </c>
      <c r="J42" s="46" t="s">
        <v>40</v>
      </c>
      <c r="K42" s="48" t="s">
        <v>72</v>
      </c>
      <c r="L42" s="49" t="s">
        <v>73</v>
      </c>
      <c r="M42" s="50" t="s">
        <v>49</v>
      </c>
      <c r="N42" s="50" t="s">
        <v>49</v>
      </c>
      <c r="O42" s="49"/>
    </row>
    <row r="43" s="1" customFormat="1" ht="18" customHeight="1" spans="1:15">
      <c r="A43" s="35">
        <v>43709</v>
      </c>
      <c r="B43" s="73">
        <f t="shared" si="5"/>
        <v>223894.69</v>
      </c>
      <c r="C43" s="36"/>
      <c r="D43" s="37" t="s">
        <v>39</v>
      </c>
      <c r="E43" s="38">
        <v>0.13</v>
      </c>
      <c r="F43" s="73">
        <f t="shared" si="6"/>
        <v>29106.31</v>
      </c>
      <c r="G43" s="74">
        <f>112500+112545+27956</f>
        <v>253001</v>
      </c>
      <c r="H43" s="22"/>
      <c r="I43" s="11"/>
      <c r="J43" s="46"/>
      <c r="K43" s="48" t="s">
        <v>74</v>
      </c>
      <c r="L43" s="49" t="s">
        <v>75</v>
      </c>
      <c r="M43" s="50" t="s">
        <v>49</v>
      </c>
      <c r="N43" s="50" t="s">
        <v>50</v>
      </c>
      <c r="O43" s="49"/>
    </row>
    <row r="44" s="1" customFormat="1" ht="18" customHeight="1" spans="1:15">
      <c r="A44" s="35">
        <v>43709</v>
      </c>
      <c r="B44" s="73">
        <f t="shared" si="5"/>
        <v>657584.07</v>
      </c>
      <c r="C44" s="36"/>
      <c r="D44" s="37" t="s">
        <v>39</v>
      </c>
      <c r="E44" s="38">
        <v>0.13</v>
      </c>
      <c r="F44" s="73">
        <f t="shared" si="6"/>
        <v>85485.93</v>
      </c>
      <c r="G44" s="74">
        <v>743070</v>
      </c>
      <c r="H44" s="22"/>
      <c r="I44" s="11"/>
      <c r="J44" s="46"/>
      <c r="K44" s="48" t="s">
        <v>53</v>
      </c>
      <c r="L44" s="49" t="s">
        <v>76</v>
      </c>
      <c r="M44" s="50" t="s">
        <v>49</v>
      </c>
      <c r="N44" s="50" t="s">
        <v>49</v>
      </c>
      <c r="O44" s="49"/>
    </row>
    <row r="45" s="1" customFormat="1" ht="18" customHeight="1" spans="1:15">
      <c r="A45" s="35">
        <v>43709</v>
      </c>
      <c r="B45" s="11">
        <f t="shared" si="5"/>
        <v>478614.76</v>
      </c>
      <c r="C45" s="40"/>
      <c r="D45" s="37" t="s">
        <v>39</v>
      </c>
      <c r="E45" s="41">
        <v>0.03</v>
      </c>
      <c r="F45" s="11">
        <f t="shared" si="6"/>
        <v>14358.44</v>
      </c>
      <c r="G45" s="75">
        <v>492973.2</v>
      </c>
      <c r="H45" s="22"/>
      <c r="I45" s="11"/>
      <c r="J45" s="46"/>
      <c r="K45" s="52" t="s">
        <v>77</v>
      </c>
      <c r="L45" s="33" t="s">
        <v>78</v>
      </c>
      <c r="M45" s="50"/>
      <c r="N45" s="50"/>
      <c r="O45" s="49"/>
    </row>
    <row r="46" s="1" customFormat="1" ht="18" customHeight="1" spans="1:15">
      <c r="A46" s="35">
        <v>43709</v>
      </c>
      <c r="B46" s="11">
        <f t="shared" si="5"/>
        <v>1070071.75</v>
      </c>
      <c r="C46" s="40"/>
      <c r="D46" s="37" t="s">
        <v>39</v>
      </c>
      <c r="E46" s="41">
        <v>0.03</v>
      </c>
      <c r="F46" s="11">
        <f t="shared" si="6"/>
        <v>32102.15</v>
      </c>
      <c r="G46" s="75">
        <v>1102173.9</v>
      </c>
      <c r="H46" s="22">
        <v>43738</v>
      </c>
      <c r="I46" s="11">
        <v>1595147.1</v>
      </c>
      <c r="J46" s="46" t="s">
        <v>40</v>
      </c>
      <c r="K46" s="52" t="s">
        <v>77</v>
      </c>
      <c r="L46" s="33" t="s">
        <v>78</v>
      </c>
      <c r="M46" s="50"/>
      <c r="N46" s="50"/>
      <c r="O46" s="49"/>
    </row>
    <row r="47" s="1" customFormat="1" ht="18" customHeight="1" spans="1:15">
      <c r="A47" s="35"/>
      <c r="B47" s="73">
        <f t="shared" si="5"/>
        <v>0</v>
      </c>
      <c r="C47" s="36"/>
      <c r="D47" s="37"/>
      <c r="E47" s="39"/>
      <c r="F47" s="73">
        <f t="shared" si="6"/>
        <v>0</v>
      </c>
      <c r="G47" s="74"/>
      <c r="H47" s="22">
        <v>43738</v>
      </c>
      <c r="I47" s="11">
        <v>1342982.1</v>
      </c>
      <c r="J47" s="46" t="s">
        <v>43</v>
      </c>
      <c r="K47" s="48" t="s">
        <v>5</v>
      </c>
      <c r="L47" s="49"/>
      <c r="M47" s="50"/>
      <c r="N47" s="50"/>
      <c r="O47" s="49"/>
    </row>
    <row r="48" s="1" customFormat="1" ht="18" customHeight="1" spans="1:15">
      <c r="A48" s="35">
        <v>43739</v>
      </c>
      <c r="B48" s="73">
        <f t="shared" si="5"/>
        <v>191194.3</v>
      </c>
      <c r="C48" s="36"/>
      <c r="D48" s="37" t="s">
        <v>39</v>
      </c>
      <c r="E48" s="38">
        <v>0.03</v>
      </c>
      <c r="F48" s="73">
        <f t="shared" si="6"/>
        <v>5735.83</v>
      </c>
      <c r="G48" s="74">
        <v>196930.13</v>
      </c>
      <c r="H48" s="22">
        <v>43738</v>
      </c>
      <c r="I48" s="11">
        <v>96930.13</v>
      </c>
      <c r="J48" s="46" t="s">
        <v>40</v>
      </c>
      <c r="K48" s="48" t="s">
        <v>46</v>
      </c>
      <c r="L48" s="49" t="s">
        <v>79</v>
      </c>
      <c r="M48" s="50" t="s">
        <v>49</v>
      </c>
      <c r="N48" s="50" t="s">
        <v>49</v>
      </c>
      <c r="O48" s="49"/>
    </row>
    <row r="49" s="1" customFormat="1" ht="18" customHeight="1" spans="1:15">
      <c r="A49" s="35">
        <v>43739</v>
      </c>
      <c r="B49" s="73">
        <f t="shared" si="5"/>
        <v>194992.89</v>
      </c>
      <c r="C49" s="36"/>
      <c r="D49" s="37" t="s">
        <v>39</v>
      </c>
      <c r="E49" s="38">
        <v>0.03</v>
      </c>
      <c r="F49" s="73">
        <f t="shared" si="6"/>
        <v>5849.79</v>
      </c>
      <c r="G49" s="74">
        <v>200842.68</v>
      </c>
      <c r="H49" s="22">
        <v>43738</v>
      </c>
      <c r="I49" s="11">
        <v>100842.68</v>
      </c>
      <c r="J49" s="46" t="s">
        <v>40</v>
      </c>
      <c r="K49" s="48" t="s">
        <v>44</v>
      </c>
      <c r="L49" s="49" t="s">
        <v>80</v>
      </c>
      <c r="M49" s="50" t="s">
        <v>49</v>
      </c>
      <c r="N49" s="50" t="s">
        <v>49</v>
      </c>
      <c r="O49" s="49"/>
    </row>
    <row r="50" s="1" customFormat="1" ht="18" customHeight="1" spans="1:15">
      <c r="A50" s="35"/>
      <c r="B50" s="73">
        <f t="shared" si="5"/>
        <v>0</v>
      </c>
      <c r="C50" s="36"/>
      <c r="D50" s="37"/>
      <c r="E50" s="39"/>
      <c r="F50" s="73">
        <f t="shared" si="6"/>
        <v>0</v>
      </c>
      <c r="G50" s="74"/>
      <c r="H50" s="22">
        <v>43738</v>
      </c>
      <c r="I50" s="51">
        <v>349604.8</v>
      </c>
      <c r="J50" s="46" t="s">
        <v>40</v>
      </c>
      <c r="K50" s="48" t="s">
        <v>51</v>
      </c>
      <c r="L50" s="49"/>
      <c r="M50" s="50"/>
      <c r="N50" s="50"/>
      <c r="O50" s="49"/>
    </row>
    <row r="51" s="1" customFormat="1" ht="18" customHeight="1" spans="1:15">
      <c r="A51" s="35"/>
      <c r="B51" s="73">
        <f t="shared" si="5"/>
        <v>0</v>
      </c>
      <c r="C51" s="36"/>
      <c r="D51" s="37"/>
      <c r="E51" s="39"/>
      <c r="F51" s="73">
        <f t="shared" si="6"/>
        <v>0</v>
      </c>
      <c r="G51" s="74"/>
      <c r="H51" s="22">
        <v>43747</v>
      </c>
      <c r="I51" s="11">
        <v>253001</v>
      </c>
      <c r="J51" s="46" t="s">
        <v>40</v>
      </c>
      <c r="K51" s="48" t="s">
        <v>74</v>
      </c>
      <c r="L51" s="49" t="s">
        <v>54</v>
      </c>
      <c r="M51" s="50"/>
      <c r="N51" s="50"/>
      <c r="O51" s="49"/>
    </row>
    <row r="52" s="1" customFormat="1" ht="18" customHeight="1" spans="1:15">
      <c r="A52" s="35"/>
      <c r="B52" s="73">
        <f t="shared" si="5"/>
        <v>0</v>
      </c>
      <c r="C52" s="36"/>
      <c r="D52" s="37"/>
      <c r="E52" s="39"/>
      <c r="F52" s="73">
        <f t="shared" si="6"/>
        <v>0</v>
      </c>
      <c r="G52" s="74"/>
      <c r="H52" s="22">
        <v>43747</v>
      </c>
      <c r="I52" s="11">
        <v>193070</v>
      </c>
      <c r="J52" s="46" t="s">
        <v>40</v>
      </c>
      <c r="K52" s="48" t="s">
        <v>53</v>
      </c>
      <c r="L52" s="49" t="s">
        <v>76</v>
      </c>
      <c r="M52" s="50"/>
      <c r="N52" s="50"/>
      <c r="O52" s="49"/>
    </row>
    <row r="53" s="1" customFormat="1" ht="18" customHeight="1" spans="1:15">
      <c r="A53" s="35">
        <v>43770</v>
      </c>
      <c r="B53" s="73">
        <f t="shared" si="5"/>
        <v>148716.24</v>
      </c>
      <c r="C53" s="36"/>
      <c r="D53" s="37" t="s">
        <v>39</v>
      </c>
      <c r="E53" s="38">
        <v>0.13</v>
      </c>
      <c r="F53" s="73">
        <f t="shared" si="6"/>
        <v>19333.11</v>
      </c>
      <c r="G53" s="74">
        <f>80023.5+88025.85</f>
        <v>168049.35</v>
      </c>
      <c r="H53" s="22">
        <v>43747</v>
      </c>
      <c r="I53" s="11">
        <v>151723.68</v>
      </c>
      <c r="J53" s="46" t="s">
        <v>40</v>
      </c>
      <c r="K53" s="48" t="s">
        <v>55</v>
      </c>
      <c r="L53" s="49" t="s">
        <v>81</v>
      </c>
      <c r="M53" s="50" t="s">
        <v>49</v>
      </c>
      <c r="N53" s="50" t="s">
        <v>82</v>
      </c>
      <c r="O53" s="49"/>
    </row>
    <row r="54" s="1" customFormat="1" ht="18" customHeight="1" spans="1:15">
      <c r="A54" s="35">
        <v>43770</v>
      </c>
      <c r="B54" s="73">
        <f t="shared" si="5"/>
        <v>32400</v>
      </c>
      <c r="C54" s="36"/>
      <c r="D54" s="37"/>
      <c r="E54" s="38"/>
      <c r="F54" s="73">
        <f t="shared" si="6"/>
        <v>0</v>
      </c>
      <c r="G54" s="74">
        <v>32400</v>
      </c>
      <c r="H54" s="22">
        <v>43775</v>
      </c>
      <c r="I54" s="11">
        <v>32400</v>
      </c>
      <c r="J54" s="46" t="s">
        <v>40</v>
      </c>
      <c r="K54" s="48" t="s">
        <v>83</v>
      </c>
      <c r="L54" s="49" t="s">
        <v>84</v>
      </c>
      <c r="M54" s="50" t="s">
        <v>49</v>
      </c>
      <c r="N54" s="50"/>
      <c r="O54" s="49"/>
    </row>
    <row r="55" s="1" customFormat="1" ht="18" customHeight="1" spans="1:15">
      <c r="A55" s="35">
        <v>43770</v>
      </c>
      <c r="B55" s="73">
        <f t="shared" si="5"/>
        <v>93543.69</v>
      </c>
      <c r="C55" s="36"/>
      <c r="D55" s="37" t="s">
        <v>39</v>
      </c>
      <c r="E55" s="38">
        <v>0.03</v>
      </c>
      <c r="F55" s="73">
        <f t="shared" si="6"/>
        <v>2806.31</v>
      </c>
      <c r="G55" s="74">
        <v>96350</v>
      </c>
      <c r="H55" s="22">
        <v>43775</v>
      </c>
      <c r="I55" s="11">
        <v>96350</v>
      </c>
      <c r="J55" s="46" t="s">
        <v>40</v>
      </c>
      <c r="K55" s="48" t="s">
        <v>85</v>
      </c>
      <c r="L55" s="49" t="s">
        <v>86</v>
      </c>
      <c r="M55" s="50" t="s">
        <v>49</v>
      </c>
      <c r="N55" s="50" t="s">
        <v>49</v>
      </c>
      <c r="O55" s="49"/>
    </row>
    <row r="56" s="1" customFormat="1" ht="18" customHeight="1" spans="1:15">
      <c r="A56" s="35">
        <v>43770</v>
      </c>
      <c r="B56" s="73">
        <f t="shared" si="5"/>
        <v>29097.35</v>
      </c>
      <c r="C56" s="36"/>
      <c r="D56" s="37" t="s">
        <v>39</v>
      </c>
      <c r="E56" s="38">
        <v>0.13</v>
      </c>
      <c r="F56" s="73">
        <f t="shared" si="6"/>
        <v>3782.65</v>
      </c>
      <c r="G56" s="74">
        <v>32880</v>
      </c>
      <c r="H56" s="22">
        <v>43775</v>
      </c>
      <c r="I56" s="11">
        <v>32880</v>
      </c>
      <c r="J56" s="46" t="s">
        <v>40</v>
      </c>
      <c r="K56" s="48" t="s">
        <v>87</v>
      </c>
      <c r="L56" s="49" t="s">
        <v>88</v>
      </c>
      <c r="M56" s="50" t="s">
        <v>49</v>
      </c>
      <c r="N56" s="50" t="s">
        <v>49</v>
      </c>
      <c r="O56" s="49"/>
    </row>
    <row r="57" s="1" customFormat="1" ht="18" customHeight="1" spans="1:15">
      <c r="A57" s="35">
        <v>43770</v>
      </c>
      <c r="B57" s="73">
        <f t="shared" si="5"/>
        <v>28890.27</v>
      </c>
      <c r="C57" s="36"/>
      <c r="D57" s="37" t="s">
        <v>39</v>
      </c>
      <c r="E57" s="38">
        <v>0.13</v>
      </c>
      <c r="F57" s="73">
        <f t="shared" si="6"/>
        <v>3755.73</v>
      </c>
      <c r="G57" s="74">
        <v>32646</v>
      </c>
      <c r="H57" s="22">
        <v>43775</v>
      </c>
      <c r="I57" s="11">
        <v>32646</v>
      </c>
      <c r="J57" s="46" t="s">
        <v>40</v>
      </c>
      <c r="K57" s="48" t="s">
        <v>89</v>
      </c>
      <c r="L57" s="49" t="s">
        <v>90</v>
      </c>
      <c r="M57" s="50" t="s">
        <v>49</v>
      </c>
      <c r="N57" s="50" t="s">
        <v>49</v>
      </c>
      <c r="O57" s="49"/>
    </row>
    <row r="58" s="1" customFormat="1" ht="18" customHeight="1" spans="1:15">
      <c r="A58" s="35"/>
      <c r="B58" s="73">
        <f t="shared" si="5"/>
        <v>0</v>
      </c>
      <c r="C58" s="36"/>
      <c r="D58" s="37"/>
      <c r="E58" s="39"/>
      <c r="F58" s="73">
        <f t="shared" si="6"/>
        <v>0</v>
      </c>
      <c r="G58" s="74"/>
      <c r="H58" s="22">
        <v>43775</v>
      </c>
      <c r="I58" s="11">
        <v>-194276</v>
      </c>
      <c r="J58" s="46" t="s">
        <v>43</v>
      </c>
      <c r="K58" s="48" t="s">
        <v>5</v>
      </c>
      <c r="L58" s="49"/>
      <c r="M58" s="50"/>
      <c r="N58" s="50"/>
      <c r="O58" s="49"/>
    </row>
    <row r="59" s="1" customFormat="1" ht="18" customHeight="1" spans="1:15">
      <c r="A59" s="35">
        <v>43770</v>
      </c>
      <c r="B59" s="73">
        <f t="shared" si="5"/>
        <v>294644.25</v>
      </c>
      <c r="C59" s="36"/>
      <c r="D59" s="37" t="s">
        <v>39</v>
      </c>
      <c r="E59" s="38">
        <v>0.13</v>
      </c>
      <c r="F59" s="73">
        <f t="shared" si="6"/>
        <v>38303.75</v>
      </c>
      <c r="G59" s="74">
        <v>332948</v>
      </c>
      <c r="H59" s="22">
        <v>43802</v>
      </c>
      <c r="I59" s="11">
        <v>332948</v>
      </c>
      <c r="J59" s="46" t="s">
        <v>40</v>
      </c>
      <c r="K59" s="48" t="s">
        <v>51</v>
      </c>
      <c r="L59" s="49" t="s">
        <v>91</v>
      </c>
      <c r="M59" s="50"/>
      <c r="N59" s="50"/>
      <c r="O59" s="49"/>
    </row>
    <row r="60" s="1" customFormat="1" ht="18" customHeight="1" spans="1:15">
      <c r="A60" s="35">
        <v>43770</v>
      </c>
      <c r="B60" s="73">
        <f t="shared" si="5"/>
        <v>199800</v>
      </c>
      <c r="C60" s="36"/>
      <c r="D60" s="37" t="s">
        <v>63</v>
      </c>
      <c r="E60" s="39"/>
      <c r="F60" s="73">
        <f t="shared" si="6"/>
        <v>0</v>
      </c>
      <c r="G60" s="74">
        <v>199800</v>
      </c>
      <c r="H60" s="22">
        <v>43802</v>
      </c>
      <c r="I60" s="11">
        <v>199800</v>
      </c>
      <c r="J60" s="46" t="s">
        <v>40</v>
      </c>
      <c r="K60" s="48" t="s">
        <v>83</v>
      </c>
      <c r="L60" s="49" t="s">
        <v>84</v>
      </c>
      <c r="M60" s="50"/>
      <c r="N60" s="50"/>
      <c r="O60" s="49"/>
    </row>
    <row r="61" s="1" customFormat="1" ht="18" customHeight="1" spans="1:15">
      <c r="A61" s="35"/>
      <c r="B61" s="73">
        <f t="shared" si="5"/>
        <v>0</v>
      </c>
      <c r="C61" s="36"/>
      <c r="D61" s="37"/>
      <c r="E61" s="39"/>
      <c r="F61" s="73">
        <f t="shared" si="6"/>
        <v>0</v>
      </c>
      <c r="G61" s="74"/>
      <c r="H61" s="22">
        <v>43801</v>
      </c>
      <c r="I61" s="11">
        <v>-16325.67</v>
      </c>
      <c r="J61" s="46" t="s">
        <v>43</v>
      </c>
      <c r="K61" s="48" t="s">
        <v>5</v>
      </c>
      <c r="L61" s="49"/>
      <c r="M61" s="50"/>
      <c r="N61" s="50"/>
      <c r="O61" s="49"/>
    </row>
    <row r="62" s="1" customFormat="1" ht="18" customHeight="1" spans="1:15">
      <c r="A62" s="35"/>
      <c r="B62" s="73">
        <f t="shared" si="5"/>
        <v>0</v>
      </c>
      <c r="C62" s="36"/>
      <c r="D62" s="37"/>
      <c r="E62" s="39"/>
      <c r="F62" s="73">
        <f t="shared" si="6"/>
        <v>0</v>
      </c>
      <c r="G62" s="74"/>
      <c r="H62" s="22">
        <v>43802</v>
      </c>
      <c r="I62" s="11">
        <v>16325.67</v>
      </c>
      <c r="J62" s="46" t="s">
        <v>40</v>
      </c>
      <c r="K62" s="48" t="s">
        <v>55</v>
      </c>
      <c r="L62" s="49"/>
      <c r="M62" s="50"/>
      <c r="N62" s="50"/>
      <c r="O62" s="49"/>
    </row>
    <row r="63" s="1" customFormat="1" ht="18" customHeight="1" spans="1:15">
      <c r="A63" s="35"/>
      <c r="B63" s="73">
        <f t="shared" si="5"/>
        <v>0</v>
      </c>
      <c r="C63" s="36"/>
      <c r="D63" s="37"/>
      <c r="E63" s="39"/>
      <c r="F63" s="73">
        <f t="shared" si="6"/>
        <v>0</v>
      </c>
      <c r="G63" s="74"/>
      <c r="H63" s="22">
        <v>43802</v>
      </c>
      <c r="I63" s="11">
        <v>667619.57</v>
      </c>
      <c r="J63" s="46" t="s">
        <v>43</v>
      </c>
      <c r="K63" s="48" t="s">
        <v>5</v>
      </c>
      <c r="L63" s="49"/>
      <c r="M63" s="50"/>
      <c r="N63" s="50"/>
      <c r="O63" s="49"/>
    </row>
    <row r="64" s="1" customFormat="1" ht="18" customHeight="1" spans="1:15">
      <c r="A64" s="35"/>
      <c r="B64" s="73">
        <f t="shared" si="5"/>
        <v>0</v>
      </c>
      <c r="C64" s="36"/>
      <c r="D64" s="37"/>
      <c r="E64" s="39"/>
      <c r="F64" s="73">
        <f t="shared" si="6"/>
        <v>0</v>
      </c>
      <c r="G64" s="74"/>
      <c r="H64" s="22">
        <v>43817</v>
      </c>
      <c r="I64" s="11">
        <v>62159.22</v>
      </c>
      <c r="J64" s="46" t="s">
        <v>43</v>
      </c>
      <c r="K64" s="48" t="s">
        <v>5</v>
      </c>
      <c r="L64" s="49"/>
      <c r="M64" s="50"/>
      <c r="N64" s="50"/>
      <c r="O64" s="49"/>
    </row>
    <row r="65" s="1" customFormat="1" ht="18" customHeight="1" spans="1:15">
      <c r="A65" s="35">
        <v>43831</v>
      </c>
      <c r="B65" s="73">
        <f t="shared" si="5"/>
        <v>9900</v>
      </c>
      <c r="C65" s="36"/>
      <c r="D65" s="37" t="s">
        <v>63</v>
      </c>
      <c r="E65" s="39"/>
      <c r="F65" s="73">
        <f t="shared" si="6"/>
        <v>0</v>
      </c>
      <c r="G65" s="74">
        <v>9900</v>
      </c>
      <c r="H65" s="22"/>
      <c r="I65" s="11"/>
      <c r="J65" s="46"/>
      <c r="K65" s="48" t="s">
        <v>92</v>
      </c>
      <c r="L65" s="49" t="s">
        <v>93</v>
      </c>
      <c r="M65" s="50"/>
      <c r="N65" s="50" t="s">
        <v>94</v>
      </c>
      <c r="O65" s="49" t="s">
        <v>95</v>
      </c>
    </row>
    <row r="66" s="1" customFormat="1" ht="18" customHeight="1" spans="1:15">
      <c r="A66" s="35">
        <v>43831</v>
      </c>
      <c r="B66" s="73">
        <f t="shared" si="5"/>
        <v>830.1</v>
      </c>
      <c r="C66" s="36"/>
      <c r="D66" s="37" t="s">
        <v>39</v>
      </c>
      <c r="E66" s="38">
        <v>0.03</v>
      </c>
      <c r="F66" s="73">
        <f t="shared" si="6"/>
        <v>24.9</v>
      </c>
      <c r="G66" s="74">
        <v>855</v>
      </c>
      <c r="H66" s="22"/>
      <c r="I66" s="11"/>
      <c r="J66" s="46"/>
      <c r="K66" s="48" t="s">
        <v>96</v>
      </c>
      <c r="L66" s="49"/>
      <c r="M66" s="50"/>
      <c r="N66" s="50"/>
      <c r="O66" s="49"/>
    </row>
    <row r="67" s="1" customFormat="1" ht="18" customHeight="1" spans="1:15">
      <c r="A67" s="35"/>
      <c r="B67" s="73">
        <f t="shared" si="5"/>
        <v>0</v>
      </c>
      <c r="C67" s="36"/>
      <c r="D67" s="37"/>
      <c r="E67" s="39"/>
      <c r="F67" s="73">
        <f t="shared" si="6"/>
        <v>0</v>
      </c>
      <c r="G67" s="74"/>
      <c r="H67" s="22">
        <v>43847</v>
      </c>
      <c r="I67" s="11">
        <v>-8740</v>
      </c>
      <c r="J67" s="46" t="s">
        <v>43</v>
      </c>
      <c r="K67" s="48" t="s">
        <v>5</v>
      </c>
      <c r="L67" s="49"/>
      <c r="M67" s="50"/>
      <c r="N67" s="50"/>
      <c r="O67" s="49"/>
    </row>
    <row r="68" s="1" customFormat="1" ht="18" customHeight="1" spans="1:15">
      <c r="A68" s="35">
        <v>43800</v>
      </c>
      <c r="B68" s="73">
        <f t="shared" si="5"/>
        <v>8690</v>
      </c>
      <c r="C68" s="36"/>
      <c r="D68" s="37" t="s">
        <v>63</v>
      </c>
      <c r="E68" s="39"/>
      <c r="F68" s="73">
        <f t="shared" si="6"/>
        <v>0</v>
      </c>
      <c r="G68" s="74">
        <v>8690</v>
      </c>
      <c r="H68" s="22">
        <v>43848</v>
      </c>
      <c r="I68" s="11">
        <v>8690</v>
      </c>
      <c r="J68" s="46" t="s">
        <v>43</v>
      </c>
      <c r="K68" s="48" t="s">
        <v>97</v>
      </c>
      <c r="L68" s="49" t="s">
        <v>98</v>
      </c>
      <c r="M68" s="50"/>
      <c r="N68" s="50" t="s">
        <v>49</v>
      </c>
      <c r="O68" s="49"/>
    </row>
    <row r="69" s="1" customFormat="1" ht="18" customHeight="1" spans="1:15">
      <c r="A69" s="35">
        <v>43922</v>
      </c>
      <c r="B69" s="73">
        <f t="shared" si="5"/>
        <v>7075.47</v>
      </c>
      <c r="C69" s="36"/>
      <c r="D69" s="37" t="s">
        <v>39</v>
      </c>
      <c r="E69" s="38">
        <v>0.06</v>
      </c>
      <c r="F69" s="73">
        <f t="shared" si="6"/>
        <v>424.53</v>
      </c>
      <c r="G69" s="74">
        <v>7500</v>
      </c>
      <c r="H69" s="22"/>
      <c r="J69" s="46"/>
      <c r="K69" s="48" t="s">
        <v>99</v>
      </c>
      <c r="L69" s="49"/>
      <c r="M69" s="50"/>
      <c r="N69" s="50"/>
      <c r="O69" s="49"/>
    </row>
    <row r="70" s="1" customFormat="1" ht="18" customHeight="1" spans="1:15">
      <c r="A70" s="35">
        <v>43952</v>
      </c>
      <c r="B70" s="73">
        <f t="shared" si="5"/>
        <v>22075.47</v>
      </c>
      <c r="C70" s="36"/>
      <c r="D70" s="37" t="s">
        <v>39</v>
      </c>
      <c r="E70" s="38">
        <v>0.06</v>
      </c>
      <c r="F70" s="73">
        <f t="shared" si="6"/>
        <v>1324.53</v>
      </c>
      <c r="G70" s="74">
        <v>23400</v>
      </c>
      <c r="H70" s="22"/>
      <c r="J70" s="46"/>
      <c r="K70" s="48" t="s">
        <v>100</v>
      </c>
      <c r="L70" s="49" t="s">
        <v>101</v>
      </c>
      <c r="M70" s="50"/>
      <c r="N70" s="50"/>
      <c r="O70" s="49" t="s">
        <v>95</v>
      </c>
    </row>
    <row r="71" s="1" customFormat="1" ht="18" customHeight="1" spans="1:15">
      <c r="A71" s="35">
        <v>44166</v>
      </c>
      <c r="B71" s="73">
        <f t="shared" ref="B71:B80" si="7">ROUND(G71/(1+E71),2)</f>
        <v>6637.17</v>
      </c>
      <c r="C71" s="36" t="s">
        <v>102</v>
      </c>
      <c r="D71" s="37" t="s">
        <v>39</v>
      </c>
      <c r="E71" s="38">
        <v>0.13</v>
      </c>
      <c r="F71" s="73">
        <f t="shared" ref="F71:F80" si="8">ROUND(G71/(1+E71)*E71,2)</f>
        <v>862.83</v>
      </c>
      <c r="G71" s="74">
        <v>7500</v>
      </c>
      <c r="H71" s="22"/>
      <c r="I71" s="11"/>
      <c r="J71" s="46"/>
      <c r="K71" s="48" t="s">
        <v>89</v>
      </c>
      <c r="L71" s="49" t="s">
        <v>103</v>
      </c>
      <c r="M71" s="50"/>
      <c r="N71" s="50"/>
      <c r="O71" s="49"/>
    </row>
    <row r="72" s="1" customFormat="1" ht="18" customHeight="1" spans="1:15">
      <c r="A72" s="35">
        <v>44166</v>
      </c>
      <c r="B72" s="73">
        <f t="shared" si="7"/>
        <v>7964.6</v>
      </c>
      <c r="C72" s="36" t="s">
        <v>102</v>
      </c>
      <c r="D72" s="37" t="s">
        <v>39</v>
      </c>
      <c r="E72" s="38">
        <v>0.13</v>
      </c>
      <c r="F72" s="73">
        <f t="shared" si="8"/>
        <v>1035.4</v>
      </c>
      <c r="G72" s="74">
        <v>9000</v>
      </c>
      <c r="H72" s="22"/>
      <c r="I72" s="11"/>
      <c r="J72" s="46"/>
      <c r="K72" s="48" t="s">
        <v>87</v>
      </c>
      <c r="L72" s="49" t="s">
        <v>104</v>
      </c>
      <c r="M72" s="50"/>
      <c r="N72" s="50"/>
      <c r="O72" s="49"/>
    </row>
    <row r="73" s="1" customFormat="1" ht="18" customHeight="1" spans="1:15">
      <c r="A73" s="35">
        <v>44166</v>
      </c>
      <c r="B73" s="73">
        <f t="shared" si="7"/>
        <v>8650</v>
      </c>
      <c r="C73" s="36" t="s">
        <v>102</v>
      </c>
      <c r="D73" s="37" t="s">
        <v>63</v>
      </c>
      <c r="E73" s="38"/>
      <c r="F73" s="73">
        <f t="shared" si="8"/>
        <v>0</v>
      </c>
      <c r="G73" s="74">
        <v>8650</v>
      </c>
      <c r="H73" s="22"/>
      <c r="I73" s="11"/>
      <c r="J73" s="46"/>
      <c r="K73" s="48" t="s">
        <v>83</v>
      </c>
      <c r="L73" s="49" t="s">
        <v>84</v>
      </c>
      <c r="M73" s="50"/>
      <c r="N73" s="50"/>
      <c r="O73" s="49"/>
    </row>
    <row r="74" s="1" customFormat="1" ht="18" customHeight="1" spans="1:15">
      <c r="A74" s="35">
        <v>44166</v>
      </c>
      <c r="B74" s="73">
        <f t="shared" si="7"/>
        <v>6000</v>
      </c>
      <c r="C74" s="36" t="s">
        <v>102</v>
      </c>
      <c r="D74" s="37" t="s">
        <v>63</v>
      </c>
      <c r="E74" s="38"/>
      <c r="F74" s="73">
        <f t="shared" si="8"/>
        <v>0</v>
      </c>
      <c r="G74" s="74">
        <v>6000</v>
      </c>
      <c r="H74" s="22"/>
      <c r="I74" s="11"/>
      <c r="J74" s="46"/>
      <c r="K74" s="48" t="s">
        <v>105</v>
      </c>
      <c r="L74" s="49" t="s">
        <v>106</v>
      </c>
      <c r="M74" s="50"/>
      <c r="N74" s="50"/>
      <c r="O74" s="49"/>
    </row>
    <row r="75" s="1" customFormat="1" ht="18" customHeight="1" spans="1:15">
      <c r="A75" s="35"/>
      <c r="B75" s="73">
        <f t="shared" si="7"/>
        <v>0</v>
      </c>
      <c r="C75" s="36"/>
      <c r="D75" s="37"/>
      <c r="E75" s="38"/>
      <c r="F75" s="73">
        <f t="shared" si="8"/>
        <v>0</v>
      </c>
      <c r="G75" s="74"/>
      <c r="H75" s="22">
        <v>44235</v>
      </c>
      <c r="I75" s="11">
        <v>7500</v>
      </c>
      <c r="J75" s="46"/>
      <c r="K75" s="52" t="s">
        <v>89</v>
      </c>
      <c r="L75" s="49" t="s">
        <v>107</v>
      </c>
      <c r="M75" s="50"/>
      <c r="N75" s="50"/>
      <c r="O75" s="49"/>
    </row>
    <row r="76" s="1" customFormat="1" ht="18" customHeight="1" spans="1:15">
      <c r="A76" s="35"/>
      <c r="B76" s="73">
        <f t="shared" si="7"/>
        <v>0</v>
      </c>
      <c r="C76" s="36"/>
      <c r="D76" s="37"/>
      <c r="E76" s="38"/>
      <c r="F76" s="73">
        <f t="shared" si="8"/>
        <v>0</v>
      </c>
      <c r="G76" s="74"/>
      <c r="H76" s="22">
        <v>44235</v>
      </c>
      <c r="I76" s="11">
        <v>9000</v>
      </c>
      <c r="J76" s="46"/>
      <c r="K76" s="52" t="s">
        <v>87</v>
      </c>
      <c r="L76" s="49" t="s">
        <v>108</v>
      </c>
      <c r="M76" s="50"/>
      <c r="N76" s="50"/>
      <c r="O76" s="49"/>
    </row>
    <row r="77" s="1" customFormat="1" ht="18" customHeight="1" spans="1:15">
      <c r="A77" s="35"/>
      <c r="B77" s="73">
        <f t="shared" si="7"/>
        <v>0</v>
      </c>
      <c r="C77" s="36"/>
      <c r="D77" s="37"/>
      <c r="E77" s="38"/>
      <c r="F77" s="73">
        <f t="shared" si="8"/>
        <v>0</v>
      </c>
      <c r="G77" s="74"/>
      <c r="H77" s="22">
        <v>44235</v>
      </c>
      <c r="I77" s="11">
        <v>6000</v>
      </c>
      <c r="J77" s="46"/>
      <c r="K77" s="52" t="s">
        <v>105</v>
      </c>
      <c r="L77" s="49" t="s">
        <v>109</v>
      </c>
      <c r="M77" s="50"/>
      <c r="N77" s="50"/>
      <c r="O77" s="49"/>
    </row>
    <row r="78" s="1" customFormat="1" ht="18" customHeight="1" spans="1:15">
      <c r="A78" s="35"/>
      <c r="B78" s="73">
        <f t="shared" si="7"/>
        <v>0</v>
      </c>
      <c r="C78" s="36"/>
      <c r="D78" s="37"/>
      <c r="E78" s="38"/>
      <c r="F78" s="73">
        <f t="shared" si="8"/>
        <v>0</v>
      </c>
      <c r="G78" s="74"/>
      <c r="H78" s="22">
        <v>44235</v>
      </c>
      <c r="I78" s="11">
        <v>8650</v>
      </c>
      <c r="J78" s="46"/>
      <c r="K78" s="52" t="s">
        <v>83</v>
      </c>
      <c r="L78" s="49" t="s">
        <v>110</v>
      </c>
      <c r="M78" s="50"/>
      <c r="N78" s="50"/>
      <c r="O78" s="49"/>
    </row>
    <row r="79" s="1" customFormat="1" ht="18" customHeight="1" spans="1:15">
      <c r="A79" s="35"/>
      <c r="B79" s="73">
        <f t="shared" si="7"/>
        <v>0</v>
      </c>
      <c r="C79" s="36"/>
      <c r="D79" s="37"/>
      <c r="E79" s="38"/>
      <c r="F79" s="73">
        <f t="shared" si="8"/>
        <v>0</v>
      </c>
      <c r="G79" s="74"/>
      <c r="H79" s="22"/>
      <c r="I79" s="83"/>
      <c r="J79" s="84"/>
      <c r="K79" s="48"/>
      <c r="L79" s="49"/>
      <c r="M79" s="50"/>
      <c r="N79" s="50"/>
      <c r="O79" s="49"/>
    </row>
    <row r="80" s="1" customFormat="1" ht="18" customHeight="1" spans="1:15">
      <c r="A80" s="35"/>
      <c r="B80" s="73">
        <f t="shared" si="7"/>
        <v>0</v>
      </c>
      <c r="C80" s="36"/>
      <c r="D80" s="37"/>
      <c r="E80" s="38"/>
      <c r="F80" s="73">
        <f t="shared" si="8"/>
        <v>0</v>
      </c>
      <c r="G80" s="74"/>
      <c r="H80" s="22"/>
      <c r="I80" s="83"/>
      <c r="J80" s="84"/>
      <c r="K80" s="48"/>
      <c r="L80" s="49"/>
      <c r="M80" s="50"/>
      <c r="N80" s="50"/>
      <c r="O80" s="49"/>
    </row>
    <row r="81" s="1" customFormat="1" ht="18" customHeight="1" spans="1:15">
      <c r="A81" s="35"/>
      <c r="B81" s="73"/>
      <c r="C81" s="36"/>
      <c r="D81" s="37"/>
      <c r="E81" s="38"/>
      <c r="F81" s="73"/>
      <c r="G81" s="74"/>
      <c r="H81" s="22"/>
      <c r="I81" s="83"/>
      <c r="J81" s="84"/>
      <c r="K81" s="48"/>
      <c r="L81" s="49"/>
      <c r="M81" s="50"/>
      <c r="N81" s="50"/>
      <c r="O81" s="49"/>
    </row>
    <row r="82" s="1" customFormat="1" ht="18" customHeight="1" spans="1:15">
      <c r="A82" s="35"/>
      <c r="B82" s="73"/>
      <c r="C82" s="36"/>
      <c r="D82" s="37"/>
      <c r="E82" s="38"/>
      <c r="F82" s="73"/>
      <c r="G82" s="74"/>
      <c r="H82" s="22"/>
      <c r="I82" s="83"/>
      <c r="J82" s="84"/>
      <c r="K82" s="48"/>
      <c r="L82" s="49"/>
      <c r="M82" s="50"/>
      <c r="N82" s="50"/>
      <c r="O82" s="49"/>
    </row>
    <row r="83" s="1" customFormat="1" ht="18" customHeight="1" spans="1:15">
      <c r="A83" s="35"/>
      <c r="B83" s="73"/>
      <c r="C83" s="36"/>
      <c r="D83" s="37"/>
      <c r="E83" s="38"/>
      <c r="F83" s="73"/>
      <c r="G83" s="74"/>
      <c r="H83" s="22"/>
      <c r="I83" s="83"/>
      <c r="J83" s="84"/>
      <c r="K83" s="48"/>
      <c r="L83" s="49"/>
      <c r="M83" s="50"/>
      <c r="N83" s="50"/>
      <c r="O83" s="49"/>
    </row>
    <row r="84" s="1" customFormat="1" ht="18" customHeight="1" spans="1:15">
      <c r="A84" s="35"/>
      <c r="B84" s="73"/>
      <c r="C84" s="36"/>
      <c r="D84" s="37"/>
      <c r="E84" s="38"/>
      <c r="F84" s="73"/>
      <c r="G84" s="74"/>
      <c r="H84" s="22"/>
      <c r="I84" s="83"/>
      <c r="J84" s="84"/>
      <c r="K84" s="48"/>
      <c r="L84" s="49"/>
      <c r="M84" s="50"/>
      <c r="N84" s="50"/>
      <c r="O84" s="49"/>
    </row>
    <row r="85" s="1" customFormat="1" ht="18" customHeight="1" spans="1:15">
      <c r="A85" s="35"/>
      <c r="B85" s="73"/>
      <c r="C85" s="36"/>
      <c r="D85" s="37"/>
      <c r="E85" s="38"/>
      <c r="F85" s="73"/>
      <c r="G85" s="74"/>
      <c r="H85" s="22"/>
      <c r="I85" s="11"/>
      <c r="J85" s="46"/>
      <c r="K85" s="48"/>
      <c r="L85" s="49"/>
      <c r="M85" s="50"/>
      <c r="N85" s="50"/>
      <c r="O85" s="49"/>
    </row>
    <row r="86" s="1" customFormat="1" ht="18" customHeight="1" spans="1:15">
      <c r="A86" s="35"/>
      <c r="B86" s="73"/>
      <c r="C86" s="36"/>
      <c r="D86" s="37"/>
      <c r="E86" s="38"/>
      <c r="F86" s="73"/>
      <c r="G86" s="74"/>
      <c r="H86" s="22" t="s">
        <v>111</v>
      </c>
      <c r="I86" s="11">
        <v>1500</v>
      </c>
      <c r="J86" s="46" t="s">
        <v>112</v>
      </c>
      <c r="K86" s="52" t="s">
        <v>113</v>
      </c>
      <c r="L86" s="49"/>
      <c r="M86" s="50"/>
      <c r="N86" s="50"/>
      <c r="O86" s="49"/>
    </row>
    <row r="87" s="1" customFormat="1" ht="18" customHeight="1" spans="1:15">
      <c r="A87" s="35"/>
      <c r="B87" s="73"/>
      <c r="C87" s="36"/>
      <c r="D87" s="37"/>
      <c r="E87" s="38"/>
      <c r="F87" s="73"/>
      <c r="G87" s="74"/>
      <c r="H87" s="22" t="s">
        <v>111</v>
      </c>
      <c r="I87" s="11">
        <v>200</v>
      </c>
      <c r="J87" s="46" t="s">
        <v>112</v>
      </c>
      <c r="K87" s="52" t="s">
        <v>114</v>
      </c>
      <c r="L87" s="49"/>
      <c r="M87" s="50"/>
      <c r="N87" s="50"/>
      <c r="O87" s="49"/>
    </row>
    <row r="88" s="1" customFormat="1" ht="18" customHeight="1" spans="1:15">
      <c r="A88" s="35"/>
      <c r="B88" s="73"/>
      <c r="C88" s="36"/>
      <c r="D88" s="37"/>
      <c r="E88" s="38"/>
      <c r="F88" s="73"/>
      <c r="G88" s="74"/>
      <c r="H88" s="22" t="s">
        <v>111</v>
      </c>
      <c r="I88" s="11">
        <v>1333.32</v>
      </c>
      <c r="J88" s="46" t="s">
        <v>112</v>
      </c>
      <c r="K88" s="52" t="s">
        <v>115</v>
      </c>
      <c r="L88" s="49"/>
      <c r="M88" s="50"/>
      <c r="N88" s="50"/>
      <c r="O88" s="49"/>
    </row>
    <row r="89" s="1" customFormat="1" ht="18" customHeight="1" spans="1:15">
      <c r="A89" s="35"/>
      <c r="B89" s="73">
        <f>ROUND(G89/(1+E89),2)</f>
        <v>0</v>
      </c>
      <c r="C89" s="36"/>
      <c r="D89" s="37"/>
      <c r="E89" s="38"/>
      <c r="F89" s="73">
        <f>ROUND(G89/(1+E89)*E89,2)</f>
        <v>0</v>
      </c>
      <c r="G89" s="74"/>
      <c r="H89" s="22" t="s">
        <v>111</v>
      </c>
      <c r="I89" s="11">
        <v>9577.27</v>
      </c>
      <c r="J89" s="46" t="s">
        <v>112</v>
      </c>
      <c r="K89" s="52" t="s">
        <v>116</v>
      </c>
      <c r="L89" s="49"/>
      <c r="M89" s="50"/>
      <c r="N89" s="50"/>
      <c r="O89" s="49"/>
    </row>
    <row r="90" s="1" customFormat="1" ht="18" customHeight="1" spans="1:15">
      <c r="A90" s="35"/>
      <c r="B90" s="73">
        <f>ROUND(G90/(1+E90),2)</f>
        <v>0</v>
      </c>
      <c r="C90" s="36"/>
      <c r="D90" s="37"/>
      <c r="E90" s="38"/>
      <c r="F90" s="73">
        <f>ROUND(G90/(1+E90)*E90,2)</f>
        <v>0</v>
      </c>
      <c r="G90" s="74"/>
      <c r="H90" s="22" t="s">
        <v>111</v>
      </c>
      <c r="I90" s="11">
        <v>2231.09</v>
      </c>
      <c r="J90" s="46" t="s">
        <v>112</v>
      </c>
      <c r="K90" s="48" t="s">
        <v>117</v>
      </c>
      <c r="L90" s="49"/>
      <c r="M90" s="50"/>
      <c r="N90" s="50"/>
      <c r="O90" s="49"/>
    </row>
    <row r="91" s="1" customFormat="1" ht="18" customHeight="1" spans="1:15">
      <c r="A91" s="35"/>
      <c r="B91" s="73">
        <f t="shared" ref="B91:B102" si="9">ROUND(G91/(1+E91),2)</f>
        <v>0</v>
      </c>
      <c r="C91" s="36"/>
      <c r="D91" s="37"/>
      <c r="E91" s="38"/>
      <c r="F91" s="73">
        <f t="shared" ref="F91:F96" si="10">ROUND(G91/(1+E91)*E91,2)</f>
        <v>0</v>
      </c>
      <c r="G91" s="74"/>
      <c r="H91" s="22" t="s">
        <v>111</v>
      </c>
      <c r="I91" s="11">
        <v>66.98</v>
      </c>
      <c r="J91" s="46" t="s">
        <v>112</v>
      </c>
      <c r="K91" s="48" t="s">
        <v>118</v>
      </c>
      <c r="L91" s="49"/>
      <c r="M91" s="50"/>
      <c r="N91" s="50"/>
      <c r="O91" s="49"/>
    </row>
    <row r="92" s="1" customFormat="1" ht="18" customHeight="1" spans="1:15">
      <c r="A92" s="35"/>
      <c r="B92" s="73">
        <f t="shared" si="9"/>
        <v>0</v>
      </c>
      <c r="C92" s="36"/>
      <c r="D92" s="37"/>
      <c r="E92" s="39"/>
      <c r="F92" s="73">
        <f t="shared" si="10"/>
        <v>0</v>
      </c>
      <c r="G92" s="74"/>
      <c r="H92" s="22" t="s">
        <v>111</v>
      </c>
      <c r="I92" s="11">
        <v>138.34</v>
      </c>
      <c r="J92" s="46" t="s">
        <v>112</v>
      </c>
      <c r="K92" s="48" t="s">
        <v>119</v>
      </c>
      <c r="L92" s="49"/>
      <c r="M92" s="50"/>
      <c r="N92" s="50"/>
      <c r="O92" s="49"/>
    </row>
    <row r="93" s="1" customFormat="1" ht="18" customHeight="1" spans="1:15">
      <c r="A93" s="35"/>
      <c r="B93" s="73">
        <f t="shared" si="9"/>
        <v>0</v>
      </c>
      <c r="C93" s="36"/>
      <c r="D93" s="37"/>
      <c r="E93" s="39"/>
      <c r="F93" s="73">
        <f t="shared" si="10"/>
        <v>0</v>
      </c>
      <c r="G93" s="74"/>
      <c r="H93" s="22">
        <v>43847</v>
      </c>
      <c r="I93" s="11">
        <v>50</v>
      </c>
      <c r="J93" s="46" t="s">
        <v>112</v>
      </c>
      <c r="K93" s="48" t="s">
        <v>120</v>
      </c>
      <c r="L93" s="49"/>
      <c r="M93" s="50"/>
      <c r="N93" s="50"/>
      <c r="O93" s="49"/>
    </row>
    <row r="94" s="1" customFormat="1" ht="18" customHeight="1" spans="1:15">
      <c r="A94" s="35"/>
      <c r="B94" s="73">
        <f t="shared" si="9"/>
        <v>0</v>
      </c>
      <c r="C94" s="36"/>
      <c r="D94" s="37"/>
      <c r="E94" s="39"/>
      <c r="F94" s="73">
        <f t="shared" si="10"/>
        <v>0</v>
      </c>
      <c r="G94" s="74"/>
      <c r="H94" s="22">
        <v>43817</v>
      </c>
      <c r="I94" s="11">
        <v>50</v>
      </c>
      <c r="J94" s="46" t="s">
        <v>112</v>
      </c>
      <c r="K94" s="48" t="s">
        <v>120</v>
      </c>
      <c r="L94" s="49"/>
      <c r="M94" s="50"/>
      <c r="N94" s="50"/>
      <c r="O94" s="49"/>
    </row>
    <row r="95" s="1" customFormat="1" ht="18" customHeight="1" spans="1:15">
      <c r="A95" s="35"/>
      <c r="B95" s="73">
        <f t="shared" si="9"/>
        <v>0</v>
      </c>
      <c r="C95" s="36"/>
      <c r="D95" s="37"/>
      <c r="E95" s="39"/>
      <c r="F95" s="73">
        <f t="shared" si="10"/>
        <v>0</v>
      </c>
      <c r="G95" s="74"/>
      <c r="H95" s="22" t="s">
        <v>121</v>
      </c>
      <c r="I95" s="11">
        <v>350</v>
      </c>
      <c r="J95" s="46" t="s">
        <v>112</v>
      </c>
      <c r="K95" s="48" t="s">
        <v>120</v>
      </c>
      <c r="L95" s="49"/>
      <c r="M95" s="50"/>
      <c r="N95" s="50"/>
      <c r="O95" s="49"/>
    </row>
    <row r="96" s="1" customFormat="1" ht="18" customHeight="1" spans="1:15">
      <c r="A96" s="35"/>
      <c r="B96" s="73">
        <f t="shared" si="9"/>
        <v>0</v>
      </c>
      <c r="C96" s="36"/>
      <c r="D96" s="37"/>
      <c r="E96" s="39"/>
      <c r="F96" s="73">
        <f t="shared" si="10"/>
        <v>0</v>
      </c>
      <c r="G96" s="74"/>
      <c r="H96" s="22" t="s">
        <v>121</v>
      </c>
      <c r="I96" s="11">
        <v>24894</v>
      </c>
      <c r="J96" s="46" t="s">
        <v>112</v>
      </c>
      <c r="K96" s="48" t="s">
        <v>117</v>
      </c>
      <c r="L96" s="49"/>
      <c r="M96" s="50"/>
      <c r="N96" s="50"/>
      <c r="O96" s="49"/>
    </row>
    <row r="97" s="1" customFormat="1" ht="18" customHeight="1" spans="1:15">
      <c r="A97" s="35"/>
      <c r="B97" s="73">
        <f t="shared" si="9"/>
        <v>0</v>
      </c>
      <c r="C97" s="36"/>
      <c r="D97" s="37"/>
      <c r="E97" s="39"/>
      <c r="F97" s="73">
        <f t="shared" ref="F97:F102" si="11">ROUND(G97/(1+E97)*E97,2)</f>
        <v>0</v>
      </c>
      <c r="G97" s="74"/>
      <c r="H97" s="22" t="s">
        <v>121</v>
      </c>
      <c r="I97" s="11">
        <v>747</v>
      </c>
      <c r="J97" s="46" t="s">
        <v>112</v>
      </c>
      <c r="K97" s="48" t="s">
        <v>118</v>
      </c>
      <c r="L97" s="49"/>
      <c r="M97" s="50"/>
      <c r="N97" s="50"/>
      <c r="O97" s="49"/>
    </row>
    <row r="98" s="1" customFormat="1" ht="18" customHeight="1" spans="1:15">
      <c r="A98" s="35"/>
      <c r="B98" s="73">
        <f t="shared" si="9"/>
        <v>0</v>
      </c>
      <c r="C98" s="36"/>
      <c r="D98" s="37"/>
      <c r="E98" s="39"/>
      <c r="F98" s="73">
        <f t="shared" si="11"/>
        <v>0</v>
      </c>
      <c r="G98" s="74"/>
      <c r="H98" s="22" t="s">
        <v>121</v>
      </c>
      <c r="I98" s="11">
        <v>6000</v>
      </c>
      <c r="J98" s="46" t="s">
        <v>112</v>
      </c>
      <c r="K98" s="48" t="s">
        <v>122</v>
      </c>
      <c r="L98" s="49"/>
      <c r="M98" s="50"/>
      <c r="N98" s="50"/>
      <c r="O98" s="49"/>
    </row>
    <row r="99" s="1" customFormat="1" ht="18" customHeight="1" spans="1:15">
      <c r="A99" s="35"/>
      <c r="B99" s="73">
        <f t="shared" si="9"/>
        <v>0</v>
      </c>
      <c r="C99" s="36"/>
      <c r="D99" s="37"/>
      <c r="E99" s="39"/>
      <c r="F99" s="73">
        <f t="shared" si="11"/>
        <v>0</v>
      </c>
      <c r="G99" s="74"/>
      <c r="H99" s="22"/>
      <c r="I99" s="11">
        <v>79289</v>
      </c>
      <c r="J99" s="46" t="s">
        <v>112</v>
      </c>
      <c r="K99" s="48" t="s">
        <v>117</v>
      </c>
      <c r="L99" s="49"/>
      <c r="M99" s="50"/>
      <c r="N99" s="50"/>
      <c r="O99" s="49"/>
    </row>
    <row r="100" s="1" customFormat="1" ht="18" customHeight="1" spans="1:15">
      <c r="A100" s="35"/>
      <c r="B100" s="73">
        <f t="shared" si="9"/>
        <v>0</v>
      </c>
      <c r="C100" s="36"/>
      <c r="D100" s="37"/>
      <c r="E100" s="39"/>
      <c r="F100" s="73">
        <f t="shared" si="11"/>
        <v>0</v>
      </c>
      <c r="G100" s="74"/>
      <c r="H100" s="22"/>
      <c r="I100" s="11">
        <v>2785</v>
      </c>
      <c r="J100" s="46" t="s">
        <v>112</v>
      </c>
      <c r="K100" s="48" t="s">
        <v>123</v>
      </c>
      <c r="L100" s="49"/>
      <c r="M100" s="50"/>
      <c r="N100" s="50"/>
      <c r="O100" s="49"/>
    </row>
    <row r="101" s="1" customFormat="1" ht="18" customHeight="1" spans="1:15">
      <c r="A101" s="35"/>
      <c r="B101" s="73">
        <f t="shared" si="9"/>
        <v>0</v>
      </c>
      <c r="C101" s="36"/>
      <c r="D101" s="37"/>
      <c r="E101" s="39"/>
      <c r="F101" s="73">
        <f t="shared" si="11"/>
        <v>0</v>
      </c>
      <c r="G101" s="74"/>
      <c r="H101" s="22"/>
      <c r="I101" s="11">
        <v>12500</v>
      </c>
      <c r="J101" s="46" t="s">
        <v>112</v>
      </c>
      <c r="K101" s="48" t="s">
        <v>124</v>
      </c>
      <c r="L101" s="49"/>
      <c r="M101" s="50"/>
      <c r="N101" s="50"/>
      <c r="O101" s="49"/>
    </row>
    <row r="102" s="1" customFormat="1" ht="18" customHeight="1" spans="1:15">
      <c r="A102" s="35"/>
      <c r="B102" s="73">
        <f t="shared" si="9"/>
        <v>149028.62</v>
      </c>
      <c r="C102" s="36"/>
      <c r="D102" s="37"/>
      <c r="E102" s="39"/>
      <c r="F102" s="73">
        <f t="shared" si="11"/>
        <v>0</v>
      </c>
      <c r="G102" s="74">
        <f>59343.08+27081.38+62604.16</f>
        <v>149028.62</v>
      </c>
      <c r="H102" s="22"/>
      <c r="I102" s="11">
        <f>G102</f>
        <v>149028.62</v>
      </c>
      <c r="J102" s="46" t="s">
        <v>112</v>
      </c>
      <c r="K102" s="48" t="s">
        <v>125</v>
      </c>
      <c r="L102" s="49"/>
      <c r="M102" s="50"/>
      <c r="N102" s="50"/>
      <c r="O102" s="49"/>
    </row>
    <row r="103" ht="18" customHeight="1" spans="1:15">
      <c r="A103" s="30" t="s">
        <v>25</v>
      </c>
      <c r="B103" s="77">
        <f>SUM(B16:B102)</f>
        <v>5246854.18</v>
      </c>
      <c r="C103" s="30"/>
      <c r="D103" s="53"/>
      <c r="E103" s="53"/>
      <c r="F103" s="78">
        <f>SUM(F16:F102)</f>
        <v>401594.55</v>
      </c>
      <c r="G103" s="79">
        <f>SUM(G16:G102)</f>
        <v>5648448.73</v>
      </c>
      <c r="H103" s="55"/>
      <c r="I103" s="30">
        <f>SUM(I16:I102)</f>
        <v>5724091.95</v>
      </c>
      <c r="J103" s="63"/>
      <c r="K103" s="53"/>
      <c r="L103" s="33"/>
      <c r="M103" s="46"/>
      <c r="N103" s="46"/>
      <c r="O103" s="33"/>
    </row>
    <row r="104" ht="18" customHeight="1" spans="1:14">
      <c r="A104" s="56" t="s">
        <v>126</v>
      </c>
      <c r="B104" s="56">
        <f>B13*0.98</f>
        <v>5214290.49541284</v>
      </c>
      <c r="C104" s="56"/>
      <c r="D104" s="58"/>
      <c r="E104" s="58"/>
      <c r="F104" s="57"/>
      <c r="G104" s="56">
        <f>G13-G103</f>
        <v>151119.27</v>
      </c>
      <c r="H104" s="80" t="s">
        <v>127</v>
      </c>
      <c r="I104" s="30">
        <f>I13-I103</f>
        <v>75476.0499999998</v>
      </c>
      <c r="J104" s="6"/>
      <c r="K104" s="64"/>
      <c r="M104" s="65"/>
      <c r="N104" s="65"/>
    </row>
    <row r="105" ht="18" customHeight="1" spans="1:14">
      <c r="A105" s="56" t="s">
        <v>128</v>
      </c>
      <c r="B105" s="56">
        <f>B104-B103</f>
        <v>-32563.6845871583</v>
      </c>
      <c r="C105" s="56"/>
      <c r="D105" s="58"/>
      <c r="E105" s="58"/>
      <c r="F105" s="57"/>
      <c r="G105" s="57"/>
      <c r="H105" s="59"/>
      <c r="I105" s="4"/>
      <c r="J105" s="6"/>
      <c r="K105" s="64"/>
      <c r="M105" s="65"/>
      <c r="N105" s="65"/>
    </row>
    <row r="106" ht="18" customHeight="1" spans="1:9">
      <c r="A106" s="2" t="s">
        <v>129</v>
      </c>
      <c r="C106" s="2"/>
      <c r="I106" s="4"/>
    </row>
    <row r="107" ht="18" customHeight="1" spans="1:9">
      <c r="A107" s="21" t="s">
        <v>130</v>
      </c>
      <c r="B107" s="20" t="s">
        <v>131</v>
      </c>
      <c r="C107" s="33"/>
      <c r="D107" s="21" t="s">
        <v>130</v>
      </c>
      <c r="E107" s="19" t="s">
        <v>17</v>
      </c>
      <c r="F107" s="20" t="s">
        <v>131</v>
      </c>
      <c r="G107" s="81" t="s">
        <v>132</v>
      </c>
      <c r="H107" s="81" t="s">
        <v>133</v>
      </c>
      <c r="I107" s="81" t="s">
        <v>134</v>
      </c>
    </row>
    <row r="108" ht="18" customHeight="1" spans="1:9">
      <c r="A108" s="33" t="s">
        <v>135</v>
      </c>
      <c r="B108" s="17">
        <f>(B104-B103)*0.25</f>
        <v>-8140.92114678957</v>
      </c>
      <c r="C108" s="33"/>
      <c r="D108" s="28" t="s">
        <v>136</v>
      </c>
      <c r="E108" s="21" t="s">
        <v>137</v>
      </c>
      <c r="F108" s="32">
        <f>F13-F103</f>
        <v>123.5211009169</v>
      </c>
      <c r="G108" s="32">
        <v>0</v>
      </c>
      <c r="H108" s="32">
        <v>0</v>
      </c>
      <c r="I108" s="32">
        <f>F13-F103</f>
        <v>123.5211009169</v>
      </c>
    </row>
    <row r="109" ht="18" customHeight="1" spans="1:9">
      <c r="A109" s="33" t="s">
        <v>138</v>
      </c>
      <c r="B109" s="60" t="s">
        <v>139</v>
      </c>
      <c r="C109" s="33"/>
      <c r="D109" s="61" t="s">
        <v>140</v>
      </c>
      <c r="E109" s="13">
        <v>0.07</v>
      </c>
      <c r="F109" s="23">
        <f>F108*E109</f>
        <v>8.64647706418298</v>
      </c>
      <c r="G109" s="23">
        <v>0</v>
      </c>
      <c r="H109" s="23">
        <v>0</v>
      </c>
      <c r="I109" s="23">
        <f>I108*E109</f>
        <v>8.64647706418298</v>
      </c>
    </row>
    <row r="110" ht="18" customHeight="1" spans="1:9">
      <c r="A110" s="33" t="s">
        <v>118</v>
      </c>
      <c r="B110" s="60"/>
      <c r="C110" s="33"/>
      <c r="D110" s="61" t="s">
        <v>141</v>
      </c>
      <c r="E110" s="13">
        <v>0.03</v>
      </c>
      <c r="F110" s="23">
        <f>F108*E110</f>
        <v>3.70563302750699</v>
      </c>
      <c r="G110" s="23">
        <v>0</v>
      </c>
      <c r="H110" s="23">
        <v>0</v>
      </c>
      <c r="I110" s="23">
        <f>I108*E110</f>
        <v>3.70563302750699</v>
      </c>
    </row>
    <row r="111" ht="18" customHeight="1" spans="1:9">
      <c r="A111" s="33"/>
      <c r="B111" s="23"/>
      <c r="C111" s="33"/>
      <c r="D111" s="61" t="s">
        <v>142</v>
      </c>
      <c r="E111" s="13">
        <v>0.02</v>
      </c>
      <c r="F111" s="23">
        <f>F108*E111</f>
        <v>2.47042201833799</v>
      </c>
      <c r="G111" s="23">
        <v>0</v>
      </c>
      <c r="H111" s="23">
        <v>0</v>
      </c>
      <c r="I111" s="23">
        <f>I108*E111</f>
        <v>2.47042201833799</v>
      </c>
    </row>
    <row r="112" ht="18" customHeight="1" spans="1:9">
      <c r="A112" s="28" t="s">
        <v>143</v>
      </c>
      <c r="B112" s="29">
        <f t="shared" ref="B112:G112" si="12">SUM(B108:B111)</f>
        <v>-8140.92114678957</v>
      </c>
      <c r="C112" s="33"/>
      <c r="D112" s="34" t="s">
        <v>143</v>
      </c>
      <c r="E112" s="28"/>
      <c r="F112" s="32">
        <f t="shared" si="12"/>
        <v>138.343633026928</v>
      </c>
      <c r="G112" s="32">
        <f t="shared" si="12"/>
        <v>0</v>
      </c>
      <c r="H112" s="32">
        <v>0</v>
      </c>
      <c r="I112" s="32">
        <f>SUM(I108:I111)</f>
        <v>138.343633026928</v>
      </c>
    </row>
    <row r="113" ht="18" customHeight="1" spans="3:9">
      <c r="C113" s="2"/>
      <c r="D113" s="11" t="s">
        <v>138</v>
      </c>
      <c r="E113" s="52">
        <v>0.0003</v>
      </c>
      <c r="F113" s="23">
        <f>G13*E113</f>
        <v>1739.8704</v>
      </c>
      <c r="G113" s="82">
        <f>G7*E113</f>
        <v>406.2207</v>
      </c>
      <c r="H113" s="23">
        <v>0</v>
      </c>
      <c r="I113" s="23">
        <v>0</v>
      </c>
    </row>
    <row r="114" ht="18" customHeight="1" spans="3:9">
      <c r="C114" s="2"/>
      <c r="D114" s="11" t="s">
        <v>118</v>
      </c>
      <c r="E114" s="52">
        <v>0.0006</v>
      </c>
      <c r="F114" s="23">
        <f>B13*E114</f>
        <v>3192.42275229358</v>
      </c>
      <c r="G114" s="23">
        <f>(B7+B8)*E114</f>
        <v>2378.65486238532</v>
      </c>
      <c r="H114" s="23">
        <f>B9*E114</f>
        <v>746.791899082566</v>
      </c>
      <c r="I114" s="23">
        <f>(B10+B11)*0.0006</f>
        <v>66.9759908256881</v>
      </c>
    </row>
    <row r="115" ht="18" customHeight="1" spans="3:9">
      <c r="C115" s="2"/>
      <c r="D115" s="19" t="s">
        <v>143</v>
      </c>
      <c r="E115" s="53"/>
      <c r="F115" s="31">
        <f>F114+F113</f>
        <v>4932.29315229358</v>
      </c>
      <c r="G115" s="31">
        <f>G113+G114</f>
        <v>2784.87556238532</v>
      </c>
      <c r="H115" s="31">
        <f>H114</f>
        <v>746.791899082566</v>
      </c>
      <c r="I115" s="31">
        <f>I113+I114</f>
        <v>66.9759908256881</v>
      </c>
    </row>
    <row r="116" ht="18" customHeight="1" spans="3:9">
      <c r="C116" s="2"/>
      <c r="D116" s="19" t="s">
        <v>25</v>
      </c>
      <c r="E116" s="30"/>
      <c r="F116" s="31">
        <f t="shared" ref="F116:I116" si="13">F112+F115</f>
        <v>5070.63678532051</v>
      </c>
      <c r="G116" s="31">
        <f t="shared" si="13"/>
        <v>2784.87556238532</v>
      </c>
      <c r="H116" s="31">
        <f t="shared" si="13"/>
        <v>746.791899082566</v>
      </c>
      <c r="I116" s="31">
        <f t="shared" si="13"/>
        <v>205.319623852616</v>
      </c>
    </row>
    <row r="117" ht="18" customHeight="1" spans="3:9">
      <c r="C117" s="2"/>
      <c r="D117" s="30" t="s">
        <v>135</v>
      </c>
      <c r="E117" s="53">
        <v>0.02</v>
      </c>
      <c r="F117" s="31">
        <f>G13*E117</f>
        <v>115991.36</v>
      </c>
      <c r="G117" s="31">
        <f>(B7+B8)*E117</f>
        <v>79288.495412844</v>
      </c>
      <c r="H117" s="31">
        <f>B9*E117</f>
        <v>24893.0633027522</v>
      </c>
      <c r="I117" s="31">
        <f>F117-I99-I96</f>
        <v>11808.36</v>
      </c>
    </row>
    <row r="118" ht="18" customHeight="1" spans="3:6">
      <c r="C118" s="2"/>
      <c r="E118" s="67" t="s">
        <v>116</v>
      </c>
      <c r="F118" s="31">
        <f>F117-I90-I96-I99</f>
        <v>9577.27</v>
      </c>
    </row>
    <row r="119" ht="18" customHeight="1" spans="3:6">
      <c r="C119" s="2"/>
      <c r="E119" s="67" t="s">
        <v>115</v>
      </c>
      <c r="F119" s="31">
        <f>F116-I91-I92-I97-I100</f>
        <v>1333.31678532051</v>
      </c>
    </row>
    <row r="120" ht="18" customHeight="1" spans="3:3">
      <c r="C120" s="2"/>
    </row>
    <row r="121" spans="3:3">
      <c r="C121" s="2"/>
    </row>
    <row r="122" spans="3:3">
      <c r="C122" s="2"/>
    </row>
    <row r="123" spans="3:3">
      <c r="C123" s="2"/>
    </row>
    <row r="124" spans="3:3">
      <c r="C124" s="2"/>
    </row>
    <row r="125" spans="3:3">
      <c r="C125" s="2"/>
    </row>
    <row r="126" spans="3:3">
      <c r="C126" s="2"/>
    </row>
    <row r="127" spans="3:3">
      <c r="C127" s="2"/>
    </row>
    <row r="128" spans="3:3">
      <c r="C128" s="2"/>
    </row>
    <row r="129" spans="3:3">
      <c r="C129" s="2"/>
    </row>
    <row r="130" spans="3:3">
      <c r="C130" s="2"/>
    </row>
    <row r="131" spans="3:3">
      <c r="C131" s="2"/>
    </row>
    <row r="132" spans="3:3">
      <c r="C132" s="2"/>
    </row>
    <row r="133" spans="3:3">
      <c r="C133" s="2"/>
    </row>
    <row r="134" spans="3:3">
      <c r="C134" s="2"/>
    </row>
    <row r="135" spans="3:3">
      <c r="C135" s="2"/>
    </row>
    <row r="136" spans="3:3">
      <c r="C136" s="2"/>
    </row>
  </sheetData>
  <protectedRanges>
    <protectedRange sqref="I42" name="区域1"/>
    <protectedRange sqref="I50" name="区域1_1"/>
  </protectedRanges>
  <autoFilter ref="A15:S120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3"/>
  <sheetViews>
    <sheetView topLeftCell="A73" workbookViewId="0">
      <selection activeCell="F8" sqref="F8"/>
    </sheetView>
  </sheetViews>
  <sheetFormatPr defaultColWidth="9" defaultRowHeight="11.25"/>
  <cols>
    <col min="1" max="1" width="10.775" style="2" customWidth="1"/>
    <col min="2" max="2" width="13.1083333333333" style="3" customWidth="1"/>
    <col min="3" max="3" width="6" style="4" customWidth="1"/>
    <col min="4" max="4" width="13.3333333333333" style="4" customWidth="1"/>
    <col min="5" max="5" width="6" style="4" customWidth="1"/>
    <col min="6" max="6" width="13.1083333333333" style="3" customWidth="1"/>
    <col min="7" max="7" width="14.1083333333333" style="3" customWidth="1"/>
    <col min="8" max="8" width="12.6666666666667" style="4" customWidth="1"/>
    <col min="9" max="9" width="13.8833333333333" style="3" customWidth="1"/>
    <col min="10" max="10" width="6.10833333333333" style="5" customWidth="1"/>
    <col min="11" max="11" width="31.4416666666667" style="6" customWidth="1"/>
    <col min="12" max="12" width="12.775" style="6" customWidth="1"/>
    <col min="13" max="13" width="6" style="6" customWidth="1"/>
    <col min="14" max="14" width="5.66666666666667" style="6" customWidth="1"/>
    <col min="15" max="16384" width="9" style="6"/>
  </cols>
  <sheetData>
    <row r="1" ht="21.9" customHeight="1" spans="1:12">
      <c r="A1" s="7" t="s">
        <v>144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 t="s">
        <v>2</v>
      </c>
      <c r="C2" s="11" t="s">
        <v>3</v>
      </c>
      <c r="D2" s="12">
        <v>7451431</v>
      </c>
      <c r="E2" s="13" t="s">
        <v>4</v>
      </c>
      <c r="F2" s="14" t="s">
        <v>5</v>
      </c>
      <c r="G2" s="15" t="s">
        <v>6</v>
      </c>
      <c r="H2" s="16" t="s">
        <v>7</v>
      </c>
      <c r="I2" s="43"/>
      <c r="J2" s="44"/>
      <c r="K2" s="18"/>
      <c r="L2" s="18"/>
    </row>
    <row r="3" ht="18" customHeight="1" spans="1:12">
      <c r="A3" s="9" t="s">
        <v>8</v>
      </c>
      <c r="B3" s="17"/>
      <c r="C3" s="11" t="s">
        <v>9</v>
      </c>
      <c r="D3" s="11"/>
      <c r="H3" s="18"/>
      <c r="I3" s="45"/>
      <c r="J3" s="18"/>
      <c r="K3" s="18"/>
      <c r="L3" s="18"/>
    </row>
    <row r="4" ht="18" customHeight="1" spans="1:12">
      <c r="A4" s="2" t="s">
        <v>10</v>
      </c>
      <c r="H4" s="18"/>
      <c r="I4" s="45"/>
      <c r="J4" s="18"/>
      <c r="K4" s="18"/>
      <c r="L4" s="18"/>
    </row>
    <row r="5" ht="18" customHeight="1" spans="1:10">
      <c r="A5" s="19" t="s">
        <v>11</v>
      </c>
      <c r="B5" s="20" t="s">
        <v>12</v>
      </c>
      <c r="C5" s="19" t="s">
        <v>13</v>
      </c>
      <c r="D5" s="19"/>
      <c r="E5" s="19" t="s">
        <v>14</v>
      </c>
      <c r="F5" s="20"/>
      <c r="G5" s="20" t="s">
        <v>15</v>
      </c>
      <c r="H5" s="21" t="s">
        <v>16</v>
      </c>
      <c r="I5" s="20"/>
      <c r="J5" s="21"/>
    </row>
    <row r="6" ht="18" customHeight="1" spans="1:10">
      <c r="A6" s="19"/>
      <c r="B6" s="20"/>
      <c r="C6" s="19" t="s">
        <v>17</v>
      </c>
      <c r="D6" s="19" t="s">
        <v>18</v>
      </c>
      <c r="E6" s="19" t="s">
        <v>17</v>
      </c>
      <c r="F6" s="20" t="s">
        <v>18</v>
      </c>
      <c r="G6" s="20"/>
      <c r="H6" s="21" t="s">
        <v>19</v>
      </c>
      <c r="I6" s="20" t="s">
        <v>20</v>
      </c>
      <c r="J6" s="21" t="s">
        <v>21</v>
      </c>
    </row>
    <row r="7" ht="18" customHeight="1" spans="1:15">
      <c r="A7" s="22">
        <v>43731</v>
      </c>
      <c r="B7" s="23">
        <f t="shared" ref="B7:B8" si="0">G7/(1+C7+E7)</f>
        <v>1242265.13761468</v>
      </c>
      <c r="C7" s="24">
        <v>0.02</v>
      </c>
      <c r="D7" s="25">
        <f>G7/(1+E7+C7)*C7-9045.38</f>
        <v>15799.9227522936</v>
      </c>
      <c r="E7" s="26">
        <v>0.07</v>
      </c>
      <c r="F7" s="23">
        <f>G7/(1+C7+E7)*E7+9045.38</f>
        <v>96003.9396330275</v>
      </c>
      <c r="G7" s="27">
        <v>1354069</v>
      </c>
      <c r="H7" s="22">
        <v>43735</v>
      </c>
      <c r="I7" s="23">
        <v>1354069</v>
      </c>
      <c r="J7" s="46" t="s">
        <v>22</v>
      </c>
      <c r="O7" s="3">
        <f>D7+F7</f>
        <v>111803.862385321</v>
      </c>
    </row>
    <row r="8" ht="18" customHeight="1" spans="1:15">
      <c r="A8" s="22">
        <v>43731</v>
      </c>
      <c r="B8" s="23">
        <f t="shared" si="0"/>
        <v>2722159.63302752</v>
      </c>
      <c r="C8" s="24">
        <v>0.02</v>
      </c>
      <c r="D8" s="25">
        <f>G8/(1+E8+C8)*C8-20223.37</f>
        <v>34219.8226605505</v>
      </c>
      <c r="E8" s="26">
        <v>0.07</v>
      </c>
      <c r="F8" s="23">
        <f>G8/(1+C8+E8)*E8+20223.37</f>
        <v>210774.544311927</v>
      </c>
      <c r="G8" s="27">
        <v>2967154</v>
      </c>
      <c r="H8" s="22">
        <v>43735</v>
      </c>
      <c r="I8" s="23">
        <v>2967154</v>
      </c>
      <c r="J8" s="46" t="s">
        <v>22</v>
      </c>
      <c r="O8" s="3">
        <f>D8+F8</f>
        <v>244994.366972477</v>
      </c>
    </row>
    <row r="9" ht="18" customHeight="1" spans="1:10">
      <c r="A9" s="22">
        <v>43790</v>
      </c>
      <c r="B9" s="23">
        <f t="shared" ref="B9:B10" si="1">G9/(1+C9+E9)</f>
        <v>1244653.16513761</v>
      </c>
      <c r="C9" s="24">
        <v>0.02</v>
      </c>
      <c r="D9" s="25">
        <f t="shared" ref="D9:D10" si="2">G9/(1+E9+C9)*C9</f>
        <v>24893.0633027523</v>
      </c>
      <c r="E9" s="26">
        <v>0.07</v>
      </c>
      <c r="F9" s="23">
        <f t="shared" ref="F9:F10" si="3">G9/(1+C9+E9)*E9</f>
        <v>87125.721559633</v>
      </c>
      <c r="G9" s="27">
        <v>1356671.95</v>
      </c>
      <c r="H9" s="22">
        <v>43797</v>
      </c>
      <c r="I9" s="23">
        <v>1356671.95</v>
      </c>
      <c r="J9" s="46" t="s">
        <v>22</v>
      </c>
    </row>
    <row r="10" ht="18" customHeight="1" spans="1:10">
      <c r="A10" s="22"/>
      <c r="B10" s="23">
        <f t="shared" si="1"/>
        <v>0</v>
      </c>
      <c r="C10" s="24">
        <v>0.02</v>
      </c>
      <c r="D10" s="25">
        <f t="shared" si="2"/>
        <v>0</v>
      </c>
      <c r="E10" s="26">
        <v>0.07</v>
      </c>
      <c r="F10" s="23">
        <f t="shared" si="3"/>
        <v>0</v>
      </c>
      <c r="G10" s="27"/>
      <c r="H10" s="22"/>
      <c r="I10" s="23"/>
      <c r="J10" s="46"/>
    </row>
    <row r="11" ht="18" customHeight="1" spans="1:10">
      <c r="A11" s="28" t="s">
        <v>25</v>
      </c>
      <c r="B11" s="29">
        <f>SUM(B7:B10)</f>
        <v>5209077.93577981</v>
      </c>
      <c r="C11" s="30"/>
      <c r="D11" s="31">
        <f t="shared" ref="D11:G11" si="4">SUM(D7:D10)</f>
        <v>74912.8087155964</v>
      </c>
      <c r="E11" s="30"/>
      <c r="F11" s="32">
        <f t="shared" si="4"/>
        <v>393904.205504588</v>
      </c>
      <c r="G11" s="31">
        <f t="shared" si="4"/>
        <v>5677894.95</v>
      </c>
      <c r="H11" s="33"/>
      <c r="I11" s="31">
        <f>SUM(I7:I10)</f>
        <v>5677894.95</v>
      </c>
      <c r="J11" s="33"/>
    </row>
    <row r="12" ht="18" customHeight="1" spans="1:12">
      <c r="A12" s="2" t="s">
        <v>26</v>
      </c>
      <c r="J12" s="4"/>
      <c r="K12" s="4"/>
      <c r="L12" s="5"/>
    </row>
    <row r="13" ht="18" customHeight="1" spans="1:15">
      <c r="A13" s="34" t="s">
        <v>27</v>
      </c>
      <c r="B13" s="20" t="s">
        <v>28</v>
      </c>
      <c r="C13" s="19" t="s">
        <v>29</v>
      </c>
      <c r="D13" s="19" t="s">
        <v>30</v>
      </c>
      <c r="E13" s="19" t="s">
        <v>17</v>
      </c>
      <c r="F13" s="20" t="s">
        <v>31</v>
      </c>
      <c r="G13" s="20" t="s">
        <v>15</v>
      </c>
      <c r="H13" s="19" t="s">
        <v>32</v>
      </c>
      <c r="I13" s="20" t="s">
        <v>33</v>
      </c>
      <c r="J13" s="19" t="s">
        <v>21</v>
      </c>
      <c r="K13" s="47" t="s">
        <v>34</v>
      </c>
      <c r="L13" s="21" t="s">
        <v>35</v>
      </c>
      <c r="M13" s="21" t="s">
        <v>36</v>
      </c>
      <c r="N13" s="21" t="s">
        <v>37</v>
      </c>
      <c r="O13" s="21" t="s">
        <v>38</v>
      </c>
    </row>
    <row r="14" s="1" customFormat="1" ht="18" customHeight="1" spans="1:15">
      <c r="A14" s="35">
        <v>43709</v>
      </c>
      <c r="B14" s="17">
        <f t="shared" ref="B14:B45" si="5">ROUND(G14/(1+E14),2)</f>
        <v>9708.74</v>
      </c>
      <c r="C14" s="36"/>
      <c r="D14" s="37" t="s">
        <v>39</v>
      </c>
      <c r="E14" s="38">
        <v>0.03</v>
      </c>
      <c r="F14" s="17">
        <f t="shared" ref="F14:F51" si="6">ROUND(G14/(1+E14)*E14,2)</f>
        <v>291.26</v>
      </c>
      <c r="G14" s="27">
        <v>10000</v>
      </c>
      <c r="H14" s="22">
        <v>43630</v>
      </c>
      <c r="I14" s="23">
        <v>10000</v>
      </c>
      <c r="J14" s="46" t="s">
        <v>40</v>
      </c>
      <c r="K14" s="48" t="s">
        <v>41</v>
      </c>
      <c r="L14" s="49" t="s">
        <v>42</v>
      </c>
      <c r="M14" s="50"/>
      <c r="N14" s="50"/>
      <c r="O14" s="49"/>
    </row>
    <row r="15" s="1" customFormat="1" ht="18" customHeight="1" spans="1:15">
      <c r="A15" s="35"/>
      <c r="B15" s="17">
        <f t="shared" si="5"/>
        <v>0</v>
      </c>
      <c r="C15" s="36"/>
      <c r="D15" s="37"/>
      <c r="E15" s="39"/>
      <c r="F15" s="17">
        <f t="shared" si="6"/>
        <v>0</v>
      </c>
      <c r="G15" s="27"/>
      <c r="H15" s="22">
        <v>43630</v>
      </c>
      <c r="I15" s="23">
        <v>-10000</v>
      </c>
      <c r="J15" s="46" t="s">
        <v>43</v>
      </c>
      <c r="K15" s="48" t="s">
        <v>5</v>
      </c>
      <c r="L15" s="49"/>
      <c r="M15" s="50"/>
      <c r="N15" s="50"/>
      <c r="O15" s="49"/>
    </row>
    <row r="16" s="1" customFormat="1" ht="18" customHeight="1" spans="1:15">
      <c r="A16" s="35"/>
      <c r="B16" s="17">
        <f t="shared" si="5"/>
        <v>0</v>
      </c>
      <c r="C16" s="36"/>
      <c r="D16" s="37"/>
      <c r="E16" s="39"/>
      <c r="F16" s="17">
        <f t="shared" si="6"/>
        <v>0</v>
      </c>
      <c r="G16" s="27"/>
      <c r="H16" s="22">
        <v>43634</v>
      </c>
      <c r="I16" s="23">
        <v>100000</v>
      </c>
      <c r="J16" s="46" t="s">
        <v>40</v>
      </c>
      <c r="K16" s="48" t="s">
        <v>44</v>
      </c>
      <c r="L16" s="49" t="s">
        <v>45</v>
      </c>
      <c r="M16" s="50"/>
      <c r="N16" s="50"/>
      <c r="O16" s="49"/>
    </row>
    <row r="17" s="1" customFormat="1" ht="18" customHeight="1" spans="1:15">
      <c r="A17" s="35"/>
      <c r="B17" s="17">
        <f t="shared" si="5"/>
        <v>0</v>
      </c>
      <c r="C17" s="36"/>
      <c r="D17" s="37"/>
      <c r="E17" s="39"/>
      <c r="F17" s="17">
        <f t="shared" si="6"/>
        <v>0</v>
      </c>
      <c r="G17" s="27"/>
      <c r="H17" s="22">
        <v>43634</v>
      </c>
      <c r="I17" s="23">
        <v>-100000</v>
      </c>
      <c r="J17" s="46" t="s">
        <v>43</v>
      </c>
      <c r="K17" s="48" t="s">
        <v>5</v>
      </c>
      <c r="L17" s="49"/>
      <c r="M17" s="50"/>
      <c r="N17" s="50"/>
      <c r="O17" s="49"/>
    </row>
    <row r="18" s="1" customFormat="1" ht="18" customHeight="1" spans="1:15">
      <c r="A18" s="35"/>
      <c r="B18" s="17">
        <f t="shared" si="5"/>
        <v>0</v>
      </c>
      <c r="C18" s="36"/>
      <c r="D18" s="37"/>
      <c r="E18" s="39"/>
      <c r="F18" s="17">
        <f t="shared" si="6"/>
        <v>0</v>
      </c>
      <c r="G18" s="27"/>
      <c r="H18" s="22">
        <v>43642</v>
      </c>
      <c r="I18" s="23">
        <v>100000</v>
      </c>
      <c r="J18" s="46" t="s">
        <v>40</v>
      </c>
      <c r="K18" s="48" t="s">
        <v>46</v>
      </c>
      <c r="L18" s="49" t="s">
        <v>45</v>
      </c>
      <c r="M18" s="50"/>
      <c r="N18" s="50"/>
      <c r="O18" s="49"/>
    </row>
    <row r="19" s="1" customFormat="1" ht="18" customHeight="1" spans="1:15">
      <c r="A19" s="35"/>
      <c r="B19" s="17">
        <f t="shared" si="5"/>
        <v>0</v>
      </c>
      <c r="C19" s="36"/>
      <c r="D19" s="37"/>
      <c r="E19" s="39"/>
      <c r="F19" s="17">
        <f t="shared" si="6"/>
        <v>0</v>
      </c>
      <c r="G19" s="27"/>
      <c r="H19" s="22">
        <v>43642</v>
      </c>
      <c r="I19" s="23">
        <v>-100000</v>
      </c>
      <c r="J19" s="46" t="s">
        <v>43</v>
      </c>
      <c r="K19" s="48" t="s">
        <v>5</v>
      </c>
      <c r="L19" s="49"/>
      <c r="M19" s="50"/>
      <c r="N19" s="50"/>
      <c r="O19" s="49"/>
    </row>
    <row r="20" s="1" customFormat="1" ht="18" customHeight="1" spans="1:15">
      <c r="A20" s="35">
        <v>43709</v>
      </c>
      <c r="B20" s="17">
        <f t="shared" si="5"/>
        <v>145631.07</v>
      </c>
      <c r="C20" s="36"/>
      <c r="D20" s="37" t="s">
        <v>39</v>
      </c>
      <c r="E20" s="38">
        <v>0.03</v>
      </c>
      <c r="F20" s="17">
        <f t="shared" si="6"/>
        <v>4368.93</v>
      </c>
      <c r="G20" s="27">
        <v>150000</v>
      </c>
      <c r="H20" s="22">
        <v>43642</v>
      </c>
      <c r="I20" s="23">
        <v>150000</v>
      </c>
      <c r="J20" s="46" t="s">
        <v>40</v>
      </c>
      <c r="K20" s="48" t="s">
        <v>47</v>
      </c>
      <c r="L20" s="49" t="s">
        <v>48</v>
      </c>
      <c r="M20" s="50" t="s">
        <v>49</v>
      </c>
      <c r="N20" s="50" t="s">
        <v>50</v>
      </c>
      <c r="O20" s="49"/>
    </row>
    <row r="21" s="1" customFormat="1" ht="18" customHeight="1" spans="1:15">
      <c r="A21" s="35"/>
      <c r="B21" s="17">
        <f t="shared" si="5"/>
        <v>0</v>
      </c>
      <c r="C21" s="36"/>
      <c r="D21" s="37"/>
      <c r="E21" s="39"/>
      <c r="F21" s="17">
        <f t="shared" si="6"/>
        <v>0</v>
      </c>
      <c r="G21" s="27"/>
      <c r="H21" s="22">
        <v>43642</v>
      </c>
      <c r="I21" s="23">
        <v>-150000</v>
      </c>
      <c r="J21" s="46" t="s">
        <v>43</v>
      </c>
      <c r="K21" s="48" t="s">
        <v>5</v>
      </c>
      <c r="L21" s="49"/>
      <c r="M21" s="50"/>
      <c r="N21" s="50"/>
      <c r="O21" s="49"/>
    </row>
    <row r="22" s="1" customFormat="1" ht="18" customHeight="1" spans="1:15">
      <c r="A22" s="35"/>
      <c r="B22" s="17">
        <f t="shared" si="5"/>
        <v>0</v>
      </c>
      <c r="C22" s="36"/>
      <c r="D22" s="37"/>
      <c r="E22" s="39"/>
      <c r="F22" s="17">
        <f t="shared" si="6"/>
        <v>0</v>
      </c>
      <c r="G22" s="27"/>
      <c r="H22" s="22">
        <v>43651</v>
      </c>
      <c r="I22" s="23">
        <v>150000</v>
      </c>
      <c r="J22" s="46" t="s">
        <v>40</v>
      </c>
      <c r="K22" s="48" t="s">
        <v>51</v>
      </c>
      <c r="L22" s="49" t="s">
        <v>52</v>
      </c>
      <c r="M22" s="50"/>
      <c r="N22" s="50"/>
      <c r="O22" s="49"/>
    </row>
    <row r="23" s="1" customFormat="1" ht="18" customHeight="1" spans="1:15">
      <c r="A23" s="35"/>
      <c r="B23" s="17">
        <f t="shared" si="5"/>
        <v>0</v>
      </c>
      <c r="C23" s="36"/>
      <c r="D23" s="37"/>
      <c r="E23" s="39"/>
      <c r="F23" s="17">
        <f t="shared" si="6"/>
        <v>0</v>
      </c>
      <c r="G23" s="27"/>
      <c r="H23" s="22">
        <v>43651</v>
      </c>
      <c r="I23" s="23">
        <v>-150000</v>
      </c>
      <c r="J23" s="46" t="s">
        <v>43</v>
      </c>
      <c r="K23" s="48" t="s">
        <v>5</v>
      </c>
      <c r="L23" s="49"/>
      <c r="M23" s="50"/>
      <c r="N23" s="50"/>
      <c r="O23" s="49"/>
    </row>
    <row r="24" s="1" customFormat="1" ht="18" customHeight="1" spans="1:15">
      <c r="A24" s="35"/>
      <c r="B24" s="17">
        <f t="shared" si="5"/>
        <v>0</v>
      </c>
      <c r="C24" s="36"/>
      <c r="D24" s="37"/>
      <c r="E24" s="39"/>
      <c r="F24" s="17">
        <f t="shared" si="6"/>
        <v>0</v>
      </c>
      <c r="G24" s="27"/>
      <c r="H24" s="22">
        <v>43654</v>
      </c>
      <c r="I24" s="23">
        <v>250000</v>
      </c>
      <c r="J24" s="46" t="s">
        <v>40</v>
      </c>
      <c r="K24" s="48" t="s">
        <v>53</v>
      </c>
      <c r="L24" s="49" t="s">
        <v>54</v>
      </c>
      <c r="M24" s="50"/>
      <c r="N24" s="50"/>
      <c r="O24" s="49"/>
    </row>
    <row r="25" s="1" customFormat="1" ht="18" customHeight="1" spans="1:15">
      <c r="A25" s="35"/>
      <c r="B25" s="17">
        <f t="shared" si="5"/>
        <v>0</v>
      </c>
      <c r="C25" s="36"/>
      <c r="D25" s="37"/>
      <c r="E25" s="39"/>
      <c r="F25" s="17">
        <f t="shared" si="6"/>
        <v>0</v>
      </c>
      <c r="G25" s="27"/>
      <c r="H25" s="22">
        <v>43654</v>
      </c>
      <c r="I25" s="23">
        <v>-250000</v>
      </c>
      <c r="J25" s="46" t="s">
        <v>43</v>
      </c>
      <c r="K25" s="48" t="s">
        <v>5</v>
      </c>
      <c r="L25" s="49"/>
      <c r="M25" s="50"/>
      <c r="N25" s="50"/>
      <c r="O25" s="49"/>
    </row>
    <row r="26" s="1" customFormat="1" ht="18" customHeight="1" spans="1:15">
      <c r="A26" s="35"/>
      <c r="B26" s="17">
        <f t="shared" si="5"/>
        <v>0</v>
      </c>
      <c r="C26" s="36"/>
      <c r="D26" s="37"/>
      <c r="E26" s="39"/>
      <c r="F26" s="17">
        <f t="shared" si="6"/>
        <v>0</v>
      </c>
      <c r="G26" s="27"/>
      <c r="H26" s="22">
        <v>43656</v>
      </c>
      <c r="I26" s="23">
        <v>300000</v>
      </c>
      <c r="J26" s="46" t="s">
        <v>40</v>
      </c>
      <c r="K26" s="48" t="s">
        <v>53</v>
      </c>
      <c r="L26" s="49" t="s">
        <v>54</v>
      </c>
      <c r="M26" s="50"/>
      <c r="N26" s="50"/>
      <c r="O26" s="49"/>
    </row>
    <row r="27" s="1" customFormat="1" ht="18" customHeight="1" spans="1:15">
      <c r="A27" s="35"/>
      <c r="B27" s="17">
        <f t="shared" si="5"/>
        <v>0</v>
      </c>
      <c r="C27" s="36"/>
      <c r="D27" s="37"/>
      <c r="E27" s="39"/>
      <c r="F27" s="17">
        <f t="shared" si="6"/>
        <v>0</v>
      </c>
      <c r="G27" s="27"/>
      <c r="H27" s="22">
        <v>43656</v>
      </c>
      <c r="I27" s="23">
        <v>-300000</v>
      </c>
      <c r="J27" s="46" t="s">
        <v>43</v>
      </c>
      <c r="K27" s="48" t="s">
        <v>5</v>
      </c>
      <c r="L27" s="49"/>
      <c r="M27" s="50"/>
      <c r="N27" s="50"/>
      <c r="O27" s="49"/>
    </row>
    <row r="28" s="1" customFormat="1" ht="18" customHeight="1" spans="1:15">
      <c r="A28" s="35"/>
      <c r="B28" s="17">
        <f t="shared" si="5"/>
        <v>0</v>
      </c>
      <c r="C28" s="36"/>
      <c r="D28" s="37"/>
      <c r="E28" s="39"/>
      <c r="F28" s="17">
        <f t="shared" si="6"/>
        <v>0</v>
      </c>
      <c r="G28" s="27"/>
      <c r="H28" s="22">
        <v>43663</v>
      </c>
      <c r="I28" s="23">
        <v>250000</v>
      </c>
      <c r="J28" s="46" t="s">
        <v>40</v>
      </c>
      <c r="K28" s="48" t="s">
        <v>55</v>
      </c>
      <c r="L28" s="49" t="s">
        <v>56</v>
      </c>
      <c r="M28" s="50"/>
      <c r="N28" s="50"/>
      <c r="O28" s="49"/>
    </row>
    <row r="29" s="1" customFormat="1" ht="18" customHeight="1" spans="1:15">
      <c r="A29" s="35"/>
      <c r="B29" s="17"/>
      <c r="C29" s="36"/>
      <c r="D29" s="37"/>
      <c r="E29" s="39"/>
      <c r="F29" s="17"/>
      <c r="G29" s="27"/>
      <c r="H29" s="22">
        <v>43663</v>
      </c>
      <c r="I29" s="23">
        <v>-250000</v>
      </c>
      <c r="J29" s="46" t="s">
        <v>43</v>
      </c>
      <c r="K29" s="48" t="s">
        <v>5</v>
      </c>
      <c r="L29" s="49"/>
      <c r="M29" s="50"/>
      <c r="N29" s="50"/>
      <c r="O29" s="49"/>
    </row>
    <row r="30" s="1" customFormat="1" ht="18" customHeight="1" spans="1:19">
      <c r="A30" s="35">
        <v>43709</v>
      </c>
      <c r="B30" s="17">
        <f t="shared" si="5"/>
        <v>389380.53</v>
      </c>
      <c r="C30" s="36"/>
      <c r="D30" s="37" t="s">
        <v>39</v>
      </c>
      <c r="E30" s="38">
        <v>0.13</v>
      </c>
      <c r="F30" s="17">
        <f t="shared" si="6"/>
        <v>50619.47</v>
      </c>
      <c r="G30" s="27">
        <f>89375+87656.25*4</f>
        <v>440000</v>
      </c>
      <c r="H30" s="22">
        <v>43665</v>
      </c>
      <c r="I30" s="23">
        <v>190000</v>
      </c>
      <c r="J30" s="46" t="s">
        <v>40</v>
      </c>
      <c r="K30" s="48" t="s">
        <v>55</v>
      </c>
      <c r="L30" s="49" t="s">
        <v>57</v>
      </c>
      <c r="M30" s="50" t="s">
        <v>49</v>
      </c>
      <c r="N30" s="50" t="s">
        <v>49</v>
      </c>
      <c r="O30" s="49"/>
      <c r="S30" s="1" t="s">
        <v>58</v>
      </c>
    </row>
    <row r="31" s="1" customFormat="1" ht="18" customHeight="1" spans="1:15">
      <c r="A31" s="35"/>
      <c r="B31" s="17"/>
      <c r="C31" s="36"/>
      <c r="D31" s="37"/>
      <c r="E31" s="39"/>
      <c r="F31" s="17"/>
      <c r="G31" s="27"/>
      <c r="H31" s="22">
        <v>43665</v>
      </c>
      <c r="I31" s="23">
        <v>-190000</v>
      </c>
      <c r="J31" s="46" t="s">
        <v>43</v>
      </c>
      <c r="K31" s="48" t="s">
        <v>5</v>
      </c>
      <c r="L31" s="49"/>
      <c r="M31" s="50"/>
      <c r="N31" s="50"/>
      <c r="O31" s="49"/>
    </row>
    <row r="32" s="1" customFormat="1" ht="18" customHeight="1" spans="1:15">
      <c r="A32" s="35"/>
      <c r="B32" s="17">
        <f t="shared" si="5"/>
        <v>0</v>
      </c>
      <c r="C32" s="36"/>
      <c r="D32" s="37"/>
      <c r="E32" s="39"/>
      <c r="F32" s="17">
        <f t="shared" si="6"/>
        <v>0</v>
      </c>
      <c r="G32" s="27"/>
      <c r="H32" s="22">
        <v>43676</v>
      </c>
      <c r="I32" s="23">
        <v>150000</v>
      </c>
      <c r="J32" s="46" t="s">
        <v>40</v>
      </c>
      <c r="K32" s="48" t="s">
        <v>51</v>
      </c>
      <c r="L32" s="49" t="s">
        <v>52</v>
      </c>
      <c r="M32" s="50"/>
      <c r="N32" s="50"/>
      <c r="O32" s="49"/>
    </row>
    <row r="33" s="1" customFormat="1" ht="18" customHeight="1" spans="1:15">
      <c r="A33" s="35"/>
      <c r="B33" s="17">
        <f t="shared" si="5"/>
        <v>0</v>
      </c>
      <c r="C33" s="36"/>
      <c r="D33" s="37"/>
      <c r="E33" s="39"/>
      <c r="F33" s="17">
        <f t="shared" si="6"/>
        <v>0</v>
      </c>
      <c r="G33" s="27"/>
      <c r="H33" s="22">
        <v>43676</v>
      </c>
      <c r="I33" s="23">
        <v>-150000</v>
      </c>
      <c r="J33" s="46" t="s">
        <v>43</v>
      </c>
      <c r="K33" s="48" t="s">
        <v>5</v>
      </c>
      <c r="L33" s="49"/>
      <c r="M33" s="50"/>
      <c r="N33" s="50"/>
      <c r="O33" s="49"/>
    </row>
    <row r="34" s="1" customFormat="1" ht="18" customHeight="1" spans="1:15">
      <c r="A34" s="35">
        <v>43709</v>
      </c>
      <c r="B34" s="17">
        <f t="shared" si="5"/>
        <v>707614.87</v>
      </c>
      <c r="C34" s="36"/>
      <c r="D34" s="37" t="s">
        <v>39</v>
      </c>
      <c r="E34" s="38">
        <v>0.13</v>
      </c>
      <c r="F34" s="17">
        <f t="shared" si="6"/>
        <v>91989.93</v>
      </c>
      <c r="G34" s="27">
        <v>799604.8</v>
      </c>
      <c r="H34" s="22">
        <v>43728</v>
      </c>
      <c r="I34" s="23">
        <v>150000</v>
      </c>
      <c r="J34" s="46" t="s">
        <v>40</v>
      </c>
      <c r="K34" s="48" t="s">
        <v>51</v>
      </c>
      <c r="L34" s="49" t="s">
        <v>59</v>
      </c>
      <c r="M34" s="50" t="s">
        <v>49</v>
      </c>
      <c r="N34" s="50" t="s">
        <v>49</v>
      </c>
      <c r="O34" s="49"/>
    </row>
    <row r="35" s="1" customFormat="1" ht="18" customHeight="1" spans="1:15">
      <c r="A35" s="35"/>
      <c r="B35" s="17">
        <f t="shared" si="5"/>
        <v>0</v>
      </c>
      <c r="C35" s="36"/>
      <c r="D35" s="37"/>
      <c r="E35" s="39"/>
      <c r="F35" s="17">
        <f t="shared" si="6"/>
        <v>0</v>
      </c>
      <c r="G35" s="27"/>
      <c r="H35" s="22">
        <v>43728</v>
      </c>
      <c r="I35" s="23">
        <v>-150000</v>
      </c>
      <c r="J35" s="46" t="s">
        <v>43</v>
      </c>
      <c r="K35" s="48" t="s">
        <v>5</v>
      </c>
      <c r="L35" s="49"/>
      <c r="M35" s="50"/>
      <c r="N35" s="50"/>
      <c r="O35" s="49"/>
    </row>
    <row r="36" s="1" customFormat="1" ht="18" customHeight="1" spans="1:15">
      <c r="A36" s="35">
        <v>43709</v>
      </c>
      <c r="B36" s="17">
        <f t="shared" si="5"/>
        <v>31078.64</v>
      </c>
      <c r="C36" s="36"/>
      <c r="D36" s="37" t="s">
        <v>39</v>
      </c>
      <c r="E36" s="38">
        <v>0.03</v>
      </c>
      <c r="F36" s="17">
        <f t="shared" si="6"/>
        <v>932.36</v>
      </c>
      <c r="G36" s="27">
        <v>32011</v>
      </c>
      <c r="H36" s="22"/>
      <c r="I36" s="23"/>
      <c r="J36" s="46"/>
      <c r="K36" s="48" t="s">
        <v>60</v>
      </c>
      <c r="L36" s="49" t="s">
        <v>61</v>
      </c>
      <c r="M36" s="50"/>
      <c r="N36" s="50"/>
      <c r="O36" s="49" t="s">
        <v>66</v>
      </c>
    </row>
    <row r="37" s="1" customFormat="1" ht="18" customHeight="1" spans="1:15">
      <c r="A37" s="35">
        <v>43709</v>
      </c>
      <c r="B37" s="17">
        <f t="shared" si="5"/>
        <v>6944</v>
      </c>
      <c r="C37" s="36"/>
      <c r="D37" s="37" t="s">
        <v>63</v>
      </c>
      <c r="E37" s="39"/>
      <c r="F37" s="17">
        <f t="shared" si="6"/>
        <v>0</v>
      </c>
      <c r="G37" s="27">
        <v>6944</v>
      </c>
      <c r="H37" s="22"/>
      <c r="I37" s="23"/>
      <c r="J37" s="46"/>
      <c r="K37" s="48" t="s">
        <v>64</v>
      </c>
      <c r="L37" s="49" t="s">
        <v>65</v>
      </c>
      <c r="M37" s="50"/>
      <c r="N37" s="50"/>
      <c r="O37" s="49" t="s">
        <v>66</v>
      </c>
    </row>
    <row r="38" s="1" customFormat="1" ht="18" customHeight="1" spans="1:15">
      <c r="A38" s="35">
        <v>43709</v>
      </c>
      <c r="B38" s="17">
        <f t="shared" si="5"/>
        <v>6187.61</v>
      </c>
      <c r="C38" s="36"/>
      <c r="D38" s="37" t="s">
        <v>39</v>
      </c>
      <c r="E38" s="38">
        <v>0.13</v>
      </c>
      <c r="F38" s="17">
        <f t="shared" si="6"/>
        <v>804.39</v>
      </c>
      <c r="G38" s="27">
        <v>6992</v>
      </c>
      <c r="H38" s="22"/>
      <c r="I38" s="23"/>
      <c r="J38" s="46"/>
      <c r="K38" s="48" t="s">
        <v>67</v>
      </c>
      <c r="L38" s="49" t="s">
        <v>68</v>
      </c>
      <c r="M38" s="50"/>
      <c r="N38" s="50"/>
      <c r="O38" s="49" t="s">
        <v>66</v>
      </c>
    </row>
    <row r="39" s="1" customFormat="1" ht="18" customHeight="1" spans="1:15">
      <c r="A39" s="35">
        <v>43709</v>
      </c>
      <c r="B39" s="17">
        <f t="shared" si="5"/>
        <v>30081.13</v>
      </c>
      <c r="C39" s="36"/>
      <c r="D39" s="37" t="s">
        <v>39</v>
      </c>
      <c r="E39" s="38">
        <v>0.06</v>
      </c>
      <c r="F39" s="17">
        <f t="shared" si="6"/>
        <v>1804.87</v>
      </c>
      <c r="G39" s="27">
        <f>13852+18034</f>
        <v>31886</v>
      </c>
      <c r="H39" s="22"/>
      <c r="I39" s="23"/>
      <c r="J39" s="46"/>
      <c r="K39" s="48" t="s">
        <v>69</v>
      </c>
      <c r="L39" s="49" t="s">
        <v>70</v>
      </c>
      <c r="M39" s="50"/>
      <c r="N39" s="50"/>
      <c r="O39" s="49" t="s">
        <v>71</v>
      </c>
    </row>
    <row r="40" s="1" customFormat="1" ht="18" customHeight="1" spans="1:15">
      <c r="A40" s="35">
        <v>43709</v>
      </c>
      <c r="B40" s="17">
        <f t="shared" si="5"/>
        <v>49931.9</v>
      </c>
      <c r="C40" s="36"/>
      <c r="D40" s="37" t="s">
        <v>39</v>
      </c>
      <c r="E40" s="38">
        <v>0.13</v>
      </c>
      <c r="F40" s="17">
        <f t="shared" si="6"/>
        <v>6491.15</v>
      </c>
      <c r="G40" s="27">
        <v>56423.05</v>
      </c>
      <c r="H40" s="22">
        <v>43738</v>
      </c>
      <c r="I40" s="51">
        <v>56423.05</v>
      </c>
      <c r="J40" s="46" t="s">
        <v>40</v>
      </c>
      <c r="K40" s="48" t="s">
        <v>72</v>
      </c>
      <c r="L40" s="49" t="s">
        <v>73</v>
      </c>
      <c r="M40" s="50" t="s">
        <v>49</v>
      </c>
      <c r="N40" s="50" t="s">
        <v>49</v>
      </c>
      <c r="O40" s="49"/>
    </row>
    <row r="41" s="1" customFormat="1" ht="18" customHeight="1" spans="1:15">
      <c r="A41" s="35">
        <v>43709</v>
      </c>
      <c r="B41" s="17">
        <f t="shared" si="5"/>
        <v>223894.69</v>
      </c>
      <c r="C41" s="36"/>
      <c r="D41" s="37" t="s">
        <v>39</v>
      </c>
      <c r="E41" s="38">
        <v>0.13</v>
      </c>
      <c r="F41" s="17">
        <f t="shared" si="6"/>
        <v>29106.31</v>
      </c>
      <c r="G41" s="27">
        <f>112500+112545+27956</f>
        <v>253001</v>
      </c>
      <c r="H41" s="22"/>
      <c r="I41" s="23"/>
      <c r="J41" s="46"/>
      <c r="K41" s="48" t="s">
        <v>74</v>
      </c>
      <c r="L41" s="49" t="s">
        <v>75</v>
      </c>
      <c r="M41" s="50" t="s">
        <v>49</v>
      </c>
      <c r="N41" s="50" t="s">
        <v>50</v>
      </c>
      <c r="O41" s="49"/>
    </row>
    <row r="42" s="1" customFormat="1" ht="18" customHeight="1" spans="1:15">
      <c r="A42" s="35">
        <v>43709</v>
      </c>
      <c r="B42" s="17">
        <f t="shared" si="5"/>
        <v>657584.07</v>
      </c>
      <c r="C42" s="36"/>
      <c r="D42" s="37" t="s">
        <v>39</v>
      </c>
      <c r="E42" s="38">
        <v>0.13</v>
      </c>
      <c r="F42" s="17">
        <f t="shared" si="6"/>
        <v>85485.93</v>
      </c>
      <c r="G42" s="27">
        <v>743070</v>
      </c>
      <c r="H42" s="22"/>
      <c r="I42" s="23"/>
      <c r="J42" s="46"/>
      <c r="K42" s="48" t="s">
        <v>53</v>
      </c>
      <c r="L42" s="49" t="s">
        <v>76</v>
      </c>
      <c r="M42" s="50" t="s">
        <v>49</v>
      </c>
      <c r="N42" s="50" t="s">
        <v>49</v>
      </c>
      <c r="O42" s="49"/>
    </row>
    <row r="43" s="1" customFormat="1" ht="18" customHeight="1" spans="1:15">
      <c r="A43" s="35">
        <v>43709</v>
      </c>
      <c r="B43" s="23">
        <f t="shared" si="5"/>
        <v>478614.76</v>
      </c>
      <c r="C43" s="40"/>
      <c r="D43" s="37" t="s">
        <v>39</v>
      </c>
      <c r="E43" s="41">
        <v>0.03</v>
      </c>
      <c r="F43" s="23">
        <f t="shared" si="6"/>
        <v>14358.44</v>
      </c>
      <c r="G43" s="42">
        <v>492973.2</v>
      </c>
      <c r="H43" s="22"/>
      <c r="I43" s="23"/>
      <c r="J43" s="46"/>
      <c r="K43" s="52" t="s">
        <v>77</v>
      </c>
      <c r="L43" s="33" t="s">
        <v>78</v>
      </c>
      <c r="M43" s="50"/>
      <c r="N43" s="50"/>
      <c r="O43" s="49"/>
    </row>
    <row r="44" s="1" customFormat="1" ht="18" customHeight="1" spans="1:15">
      <c r="A44" s="35">
        <v>43709</v>
      </c>
      <c r="B44" s="23">
        <f t="shared" si="5"/>
        <v>1070071.75</v>
      </c>
      <c r="C44" s="40"/>
      <c r="D44" s="37" t="s">
        <v>39</v>
      </c>
      <c r="E44" s="41">
        <v>0.03</v>
      </c>
      <c r="F44" s="23">
        <f t="shared" si="6"/>
        <v>32102.15</v>
      </c>
      <c r="G44" s="42">
        <v>1102173.9</v>
      </c>
      <c r="H44" s="22">
        <v>43738</v>
      </c>
      <c r="I44" s="23">
        <v>1595147.1</v>
      </c>
      <c r="J44" s="46" t="s">
        <v>40</v>
      </c>
      <c r="K44" s="52" t="s">
        <v>77</v>
      </c>
      <c r="L44" s="33" t="s">
        <v>78</v>
      </c>
      <c r="M44" s="50"/>
      <c r="N44" s="50"/>
      <c r="O44" s="49"/>
    </row>
    <row r="45" s="1" customFormat="1" ht="18" customHeight="1" spans="1:15">
      <c r="A45" s="35"/>
      <c r="B45" s="17">
        <f t="shared" si="5"/>
        <v>0</v>
      </c>
      <c r="C45" s="36"/>
      <c r="D45" s="37"/>
      <c r="E45" s="39"/>
      <c r="F45" s="17">
        <f t="shared" si="6"/>
        <v>0</v>
      </c>
      <c r="G45" s="27"/>
      <c r="H45" s="22">
        <v>43738</v>
      </c>
      <c r="I45" s="23">
        <v>1342982.1</v>
      </c>
      <c r="J45" s="46" t="s">
        <v>43</v>
      </c>
      <c r="K45" s="48" t="s">
        <v>5</v>
      </c>
      <c r="L45" s="49"/>
      <c r="M45" s="50"/>
      <c r="N45" s="50"/>
      <c r="O45" s="49"/>
    </row>
    <row r="46" s="1" customFormat="1" ht="18" customHeight="1" spans="1:15">
      <c r="A46" s="35">
        <v>43739</v>
      </c>
      <c r="B46" s="17">
        <f t="shared" ref="B46:B51" si="7">ROUND(G46/(1+E46),2)</f>
        <v>191194.3</v>
      </c>
      <c r="C46" s="36"/>
      <c r="D46" s="37" t="s">
        <v>39</v>
      </c>
      <c r="E46" s="38">
        <v>0.03</v>
      </c>
      <c r="F46" s="17">
        <f t="shared" si="6"/>
        <v>5735.83</v>
      </c>
      <c r="G46" s="27">
        <v>196930.13</v>
      </c>
      <c r="H46" s="22">
        <v>43738</v>
      </c>
      <c r="I46" s="23">
        <v>96930.13</v>
      </c>
      <c r="J46" s="46" t="s">
        <v>40</v>
      </c>
      <c r="K46" s="48" t="s">
        <v>46</v>
      </c>
      <c r="L46" s="49" t="s">
        <v>79</v>
      </c>
      <c r="M46" s="50" t="s">
        <v>49</v>
      </c>
      <c r="N46" s="50" t="s">
        <v>49</v>
      </c>
      <c r="O46" s="49"/>
    </row>
    <row r="47" s="1" customFormat="1" ht="18" customHeight="1" spans="1:15">
      <c r="A47" s="35">
        <v>43739</v>
      </c>
      <c r="B47" s="17">
        <f t="shared" si="7"/>
        <v>194992.89</v>
      </c>
      <c r="C47" s="36"/>
      <c r="D47" s="37" t="s">
        <v>39</v>
      </c>
      <c r="E47" s="38">
        <v>0.03</v>
      </c>
      <c r="F47" s="17">
        <f t="shared" si="6"/>
        <v>5849.79</v>
      </c>
      <c r="G47" s="27">
        <v>200842.68</v>
      </c>
      <c r="H47" s="22">
        <v>43738</v>
      </c>
      <c r="I47" s="23">
        <v>100842.68</v>
      </c>
      <c r="J47" s="46" t="s">
        <v>40</v>
      </c>
      <c r="K47" s="48" t="s">
        <v>44</v>
      </c>
      <c r="L47" s="49" t="s">
        <v>80</v>
      </c>
      <c r="M47" s="50" t="s">
        <v>49</v>
      </c>
      <c r="N47" s="50" t="s">
        <v>49</v>
      </c>
      <c r="O47" s="49"/>
    </row>
    <row r="48" s="1" customFormat="1" ht="18" customHeight="1" spans="1:15">
      <c r="A48" s="35"/>
      <c r="B48" s="17">
        <f t="shared" si="7"/>
        <v>0</v>
      </c>
      <c r="C48" s="36"/>
      <c r="D48" s="37"/>
      <c r="E48" s="39"/>
      <c r="F48" s="17">
        <f t="shared" si="6"/>
        <v>0</v>
      </c>
      <c r="G48" s="27"/>
      <c r="H48" s="22">
        <v>43738</v>
      </c>
      <c r="I48" s="51">
        <v>349604.8</v>
      </c>
      <c r="J48" s="46" t="s">
        <v>40</v>
      </c>
      <c r="K48" s="48" t="s">
        <v>51</v>
      </c>
      <c r="L48" s="49"/>
      <c r="M48" s="50"/>
      <c r="N48" s="50"/>
      <c r="O48" s="49"/>
    </row>
    <row r="49" s="1" customFormat="1" ht="18" customHeight="1" spans="1:15">
      <c r="A49" s="35"/>
      <c r="B49" s="17">
        <f t="shared" si="7"/>
        <v>0</v>
      </c>
      <c r="C49" s="36"/>
      <c r="D49" s="37"/>
      <c r="E49" s="39"/>
      <c r="F49" s="17">
        <f t="shared" si="6"/>
        <v>0</v>
      </c>
      <c r="G49" s="27"/>
      <c r="H49" s="22">
        <v>43747</v>
      </c>
      <c r="I49" s="23">
        <v>253001</v>
      </c>
      <c r="J49" s="46" t="s">
        <v>40</v>
      </c>
      <c r="K49" s="48" t="s">
        <v>74</v>
      </c>
      <c r="L49" s="49" t="s">
        <v>54</v>
      </c>
      <c r="M49" s="50"/>
      <c r="N49" s="50"/>
      <c r="O49" s="49"/>
    </row>
    <row r="50" s="1" customFormat="1" ht="18" customHeight="1" spans="1:15">
      <c r="A50" s="35"/>
      <c r="B50" s="17">
        <f t="shared" si="7"/>
        <v>0</v>
      </c>
      <c r="C50" s="36"/>
      <c r="D50" s="37"/>
      <c r="E50" s="39"/>
      <c r="F50" s="17">
        <f t="shared" si="6"/>
        <v>0</v>
      </c>
      <c r="G50" s="27"/>
      <c r="H50" s="22">
        <v>43747</v>
      </c>
      <c r="I50" s="23">
        <v>193070</v>
      </c>
      <c r="J50" s="46" t="s">
        <v>40</v>
      </c>
      <c r="K50" s="48" t="s">
        <v>53</v>
      </c>
      <c r="L50" s="49" t="s">
        <v>76</v>
      </c>
      <c r="M50" s="50"/>
      <c r="N50" s="50"/>
      <c r="O50" s="49"/>
    </row>
    <row r="51" s="1" customFormat="1" ht="18" customHeight="1" spans="1:15">
      <c r="A51" s="35">
        <v>43770</v>
      </c>
      <c r="B51" s="17">
        <f t="shared" si="7"/>
        <v>148716.24</v>
      </c>
      <c r="C51" s="36"/>
      <c r="D51" s="37" t="s">
        <v>39</v>
      </c>
      <c r="E51" s="38">
        <v>0.13</v>
      </c>
      <c r="F51" s="17">
        <f t="shared" si="6"/>
        <v>19333.11</v>
      </c>
      <c r="G51" s="27">
        <f>80023.5+88025.85</f>
        <v>168049.35</v>
      </c>
      <c r="H51" s="22">
        <v>43747</v>
      </c>
      <c r="I51" s="23">
        <v>151723.68</v>
      </c>
      <c r="J51" s="46" t="s">
        <v>40</v>
      </c>
      <c r="K51" s="48" t="s">
        <v>55</v>
      </c>
      <c r="L51" s="49" t="s">
        <v>81</v>
      </c>
      <c r="M51" s="50" t="s">
        <v>49</v>
      </c>
      <c r="N51" s="50" t="s">
        <v>82</v>
      </c>
      <c r="O51" s="49"/>
    </row>
    <row r="52" s="1" customFormat="1" ht="18" customHeight="1" spans="1:15">
      <c r="A52" s="35">
        <v>43770</v>
      </c>
      <c r="B52" s="17">
        <f t="shared" ref="B52:B62" si="8">ROUND(G52/(1+E52),2)</f>
        <v>32400</v>
      </c>
      <c r="C52" s="36"/>
      <c r="D52" s="37"/>
      <c r="E52" s="38"/>
      <c r="F52" s="17">
        <f t="shared" ref="F52:F62" si="9">ROUND(G52/(1+E52)*E52,2)</f>
        <v>0</v>
      </c>
      <c r="G52" s="27">
        <v>32400</v>
      </c>
      <c r="H52" s="22">
        <v>43775</v>
      </c>
      <c r="I52" s="23">
        <v>32400</v>
      </c>
      <c r="J52" s="46" t="s">
        <v>40</v>
      </c>
      <c r="K52" s="48" t="s">
        <v>83</v>
      </c>
      <c r="L52" s="49" t="s">
        <v>84</v>
      </c>
      <c r="M52" s="50" t="s">
        <v>49</v>
      </c>
      <c r="N52" s="50"/>
      <c r="O52" s="49"/>
    </row>
    <row r="53" s="1" customFormat="1" ht="18" customHeight="1" spans="1:15">
      <c r="A53" s="35">
        <v>43770</v>
      </c>
      <c r="B53" s="17">
        <f t="shared" si="8"/>
        <v>93543.69</v>
      </c>
      <c r="C53" s="36"/>
      <c r="D53" s="37" t="s">
        <v>39</v>
      </c>
      <c r="E53" s="38">
        <v>0.03</v>
      </c>
      <c r="F53" s="17">
        <f t="shared" si="9"/>
        <v>2806.31</v>
      </c>
      <c r="G53" s="27">
        <v>96350</v>
      </c>
      <c r="H53" s="22">
        <v>43775</v>
      </c>
      <c r="I53" s="23">
        <v>96350</v>
      </c>
      <c r="J53" s="46" t="s">
        <v>40</v>
      </c>
      <c r="K53" s="48" t="s">
        <v>85</v>
      </c>
      <c r="L53" s="49" t="s">
        <v>86</v>
      </c>
      <c r="M53" s="50" t="s">
        <v>49</v>
      </c>
      <c r="N53" s="50" t="s">
        <v>49</v>
      </c>
      <c r="O53" s="49"/>
    </row>
    <row r="54" s="1" customFormat="1" ht="18" customHeight="1" spans="1:15">
      <c r="A54" s="35">
        <v>43770</v>
      </c>
      <c r="B54" s="17">
        <f t="shared" si="8"/>
        <v>29097.35</v>
      </c>
      <c r="C54" s="36"/>
      <c r="D54" s="37" t="s">
        <v>39</v>
      </c>
      <c r="E54" s="38">
        <v>0.13</v>
      </c>
      <c r="F54" s="17">
        <f t="shared" si="9"/>
        <v>3782.65</v>
      </c>
      <c r="G54" s="27">
        <v>32880</v>
      </c>
      <c r="H54" s="22">
        <v>43775</v>
      </c>
      <c r="I54" s="23">
        <v>32880</v>
      </c>
      <c r="J54" s="46" t="s">
        <v>40</v>
      </c>
      <c r="K54" s="48" t="s">
        <v>87</v>
      </c>
      <c r="L54" s="49" t="s">
        <v>88</v>
      </c>
      <c r="M54" s="50" t="s">
        <v>49</v>
      </c>
      <c r="N54" s="50" t="s">
        <v>49</v>
      </c>
      <c r="O54" s="49"/>
    </row>
    <row r="55" s="1" customFormat="1" ht="18" customHeight="1" spans="1:15">
      <c r="A55" s="35">
        <v>43770</v>
      </c>
      <c r="B55" s="17">
        <f t="shared" si="8"/>
        <v>28890.27</v>
      </c>
      <c r="C55" s="36"/>
      <c r="D55" s="37" t="s">
        <v>39</v>
      </c>
      <c r="E55" s="38">
        <v>0.13</v>
      </c>
      <c r="F55" s="17">
        <f t="shared" si="9"/>
        <v>3755.73</v>
      </c>
      <c r="G55" s="27">
        <v>32646</v>
      </c>
      <c r="H55" s="22">
        <v>43775</v>
      </c>
      <c r="I55" s="23">
        <v>32646</v>
      </c>
      <c r="J55" s="46" t="s">
        <v>40</v>
      </c>
      <c r="K55" s="48" t="s">
        <v>89</v>
      </c>
      <c r="L55" s="49" t="s">
        <v>90</v>
      </c>
      <c r="M55" s="50" t="s">
        <v>49</v>
      </c>
      <c r="N55" s="50" t="s">
        <v>49</v>
      </c>
      <c r="O55" s="49"/>
    </row>
    <row r="56" s="1" customFormat="1" ht="18" customHeight="1" spans="1:15">
      <c r="A56" s="35"/>
      <c r="B56" s="17">
        <f t="shared" si="8"/>
        <v>0</v>
      </c>
      <c r="C56" s="36"/>
      <c r="D56" s="37"/>
      <c r="E56" s="39"/>
      <c r="F56" s="17">
        <f t="shared" si="9"/>
        <v>0</v>
      </c>
      <c r="G56" s="27"/>
      <c r="H56" s="22">
        <v>43775</v>
      </c>
      <c r="I56" s="23">
        <v>-194276</v>
      </c>
      <c r="J56" s="46" t="s">
        <v>43</v>
      </c>
      <c r="K56" s="48" t="s">
        <v>5</v>
      </c>
      <c r="L56" s="49"/>
      <c r="M56" s="50"/>
      <c r="N56" s="50"/>
      <c r="O56" s="49"/>
    </row>
    <row r="57" s="1" customFormat="1" ht="18" customHeight="1" spans="1:15">
      <c r="A57" s="35">
        <v>43770</v>
      </c>
      <c r="B57" s="17">
        <f t="shared" si="8"/>
        <v>294644.25</v>
      </c>
      <c r="C57" s="36"/>
      <c r="D57" s="37" t="s">
        <v>39</v>
      </c>
      <c r="E57" s="38">
        <v>0.13</v>
      </c>
      <c r="F57" s="17">
        <f t="shared" si="9"/>
        <v>38303.75</v>
      </c>
      <c r="G57" s="27">
        <v>332948</v>
      </c>
      <c r="H57" s="22">
        <v>43802</v>
      </c>
      <c r="I57" s="23">
        <v>332948</v>
      </c>
      <c r="J57" s="46" t="s">
        <v>40</v>
      </c>
      <c r="K57" s="48" t="s">
        <v>51</v>
      </c>
      <c r="L57" s="49" t="s">
        <v>91</v>
      </c>
      <c r="M57" s="50"/>
      <c r="N57" s="50"/>
      <c r="O57" s="49"/>
    </row>
    <row r="58" s="1" customFormat="1" ht="18" customHeight="1" spans="1:15">
      <c r="A58" s="35">
        <v>43770</v>
      </c>
      <c r="B58" s="17">
        <f t="shared" si="8"/>
        <v>199800</v>
      </c>
      <c r="C58" s="36"/>
      <c r="D58" s="37" t="s">
        <v>63</v>
      </c>
      <c r="E58" s="39"/>
      <c r="F58" s="17">
        <f t="shared" si="9"/>
        <v>0</v>
      </c>
      <c r="G58" s="27">
        <v>199800</v>
      </c>
      <c r="H58" s="22">
        <v>43802</v>
      </c>
      <c r="I58" s="23">
        <v>199800</v>
      </c>
      <c r="J58" s="46" t="s">
        <v>40</v>
      </c>
      <c r="K58" s="48" t="s">
        <v>83</v>
      </c>
      <c r="L58" s="49" t="s">
        <v>84</v>
      </c>
      <c r="M58" s="50"/>
      <c r="N58" s="50"/>
      <c r="O58" s="49"/>
    </row>
    <row r="59" s="1" customFormat="1" ht="18" customHeight="1" spans="1:15">
      <c r="A59" s="35"/>
      <c r="B59" s="17">
        <f t="shared" si="8"/>
        <v>0</v>
      </c>
      <c r="C59" s="36"/>
      <c r="D59" s="37"/>
      <c r="E59" s="39"/>
      <c r="F59" s="17">
        <f t="shared" si="9"/>
        <v>0</v>
      </c>
      <c r="G59" s="27"/>
      <c r="H59" s="22">
        <v>43801</v>
      </c>
      <c r="I59" s="23">
        <v>-16325.67</v>
      </c>
      <c r="J59" s="46" t="s">
        <v>43</v>
      </c>
      <c r="K59" s="48" t="s">
        <v>5</v>
      </c>
      <c r="L59" s="49"/>
      <c r="M59" s="50"/>
      <c r="N59" s="50"/>
      <c r="O59" s="49"/>
    </row>
    <row r="60" s="1" customFormat="1" ht="18" customHeight="1" spans="1:15">
      <c r="A60" s="35"/>
      <c r="B60" s="17">
        <f t="shared" si="8"/>
        <v>0</v>
      </c>
      <c r="C60" s="36"/>
      <c r="D60" s="37"/>
      <c r="E60" s="39"/>
      <c r="F60" s="17">
        <f t="shared" si="9"/>
        <v>0</v>
      </c>
      <c r="G60" s="27"/>
      <c r="H60" s="22">
        <v>43802</v>
      </c>
      <c r="I60" s="23">
        <v>16325.67</v>
      </c>
      <c r="J60" s="46" t="s">
        <v>40</v>
      </c>
      <c r="K60" s="48" t="s">
        <v>55</v>
      </c>
      <c r="L60" s="49"/>
      <c r="M60" s="50"/>
      <c r="N60" s="50"/>
      <c r="O60" s="49"/>
    </row>
    <row r="61" s="1" customFormat="1" ht="18" customHeight="1" spans="1:15">
      <c r="A61" s="35"/>
      <c r="B61" s="17">
        <f t="shared" si="8"/>
        <v>0</v>
      </c>
      <c r="C61" s="36"/>
      <c r="D61" s="37"/>
      <c r="E61" s="39"/>
      <c r="F61" s="17">
        <f t="shared" si="9"/>
        <v>0</v>
      </c>
      <c r="G61" s="27"/>
      <c r="H61" s="22">
        <v>43802</v>
      </c>
      <c r="I61" s="23">
        <v>667619.57</v>
      </c>
      <c r="J61" s="46" t="s">
        <v>43</v>
      </c>
      <c r="K61" s="48" t="s">
        <v>5</v>
      </c>
      <c r="L61" s="49"/>
      <c r="M61" s="50"/>
      <c r="N61" s="50"/>
      <c r="O61" s="49"/>
    </row>
    <row r="62" s="1" customFormat="1" ht="18" customHeight="1" spans="1:15">
      <c r="A62" s="35"/>
      <c r="B62" s="17">
        <f t="shared" si="8"/>
        <v>0</v>
      </c>
      <c r="C62" s="36"/>
      <c r="D62" s="37"/>
      <c r="E62" s="39"/>
      <c r="F62" s="17">
        <f t="shared" si="9"/>
        <v>0</v>
      </c>
      <c r="G62" s="27"/>
      <c r="H62" s="22">
        <v>43817</v>
      </c>
      <c r="I62" s="23">
        <v>62159.22</v>
      </c>
      <c r="J62" s="46" t="s">
        <v>43</v>
      </c>
      <c r="K62" s="48" t="s">
        <v>5</v>
      </c>
      <c r="L62" s="49"/>
      <c r="M62" s="50"/>
      <c r="N62" s="50"/>
      <c r="O62" s="49"/>
    </row>
    <row r="63" s="1" customFormat="1" ht="18" customHeight="1" spans="1:15">
      <c r="A63" s="35">
        <v>43831</v>
      </c>
      <c r="B63" s="17">
        <f t="shared" ref="B63:B71" si="10">ROUND(G63/(1+E63),2)</f>
        <v>9900</v>
      </c>
      <c r="C63" s="36"/>
      <c r="D63" s="37" t="s">
        <v>63</v>
      </c>
      <c r="E63" s="39"/>
      <c r="F63" s="17">
        <f t="shared" ref="F63:F71" si="11">ROUND(G63/(1+E63)*E63,2)</f>
        <v>0</v>
      </c>
      <c r="G63" s="27">
        <v>9900</v>
      </c>
      <c r="H63" s="22"/>
      <c r="I63" s="23"/>
      <c r="J63" s="46"/>
      <c r="K63" s="48" t="s">
        <v>92</v>
      </c>
      <c r="L63" s="49" t="s">
        <v>93</v>
      </c>
      <c r="M63" s="50"/>
      <c r="N63" s="50" t="s">
        <v>94</v>
      </c>
      <c r="O63" s="49"/>
    </row>
    <row r="64" s="1" customFormat="1" ht="18" customHeight="1" spans="1:15">
      <c r="A64" s="35">
        <v>43831</v>
      </c>
      <c r="B64" s="17">
        <f t="shared" si="10"/>
        <v>830.1</v>
      </c>
      <c r="C64" s="36"/>
      <c r="D64" s="37" t="s">
        <v>39</v>
      </c>
      <c r="E64" s="38">
        <v>0.03</v>
      </c>
      <c r="F64" s="17">
        <f t="shared" si="11"/>
        <v>24.9</v>
      </c>
      <c r="G64" s="27">
        <v>855</v>
      </c>
      <c r="H64" s="22"/>
      <c r="I64" s="23"/>
      <c r="J64" s="46"/>
      <c r="K64" s="48" t="s">
        <v>96</v>
      </c>
      <c r="L64" s="49"/>
      <c r="M64" s="50"/>
      <c r="N64" s="50"/>
      <c r="O64" s="49"/>
    </row>
    <row r="65" s="1" customFormat="1" ht="18" customHeight="1" spans="1:15">
      <c r="A65" s="35"/>
      <c r="B65" s="17">
        <f t="shared" si="10"/>
        <v>0</v>
      </c>
      <c r="C65" s="36"/>
      <c r="D65" s="37"/>
      <c r="E65" s="39"/>
      <c r="F65" s="17">
        <f t="shared" si="11"/>
        <v>0</v>
      </c>
      <c r="G65" s="27"/>
      <c r="H65" s="22">
        <v>43847</v>
      </c>
      <c r="I65" s="23">
        <v>-8740</v>
      </c>
      <c r="J65" s="46" t="s">
        <v>43</v>
      </c>
      <c r="K65" s="48" t="s">
        <v>5</v>
      </c>
      <c r="L65" s="49"/>
      <c r="M65" s="50"/>
      <c r="N65" s="50"/>
      <c r="O65" s="49"/>
    </row>
    <row r="66" s="1" customFormat="1" ht="18" customHeight="1" spans="1:15">
      <c r="A66" s="35"/>
      <c r="B66" s="17">
        <f t="shared" si="10"/>
        <v>0</v>
      </c>
      <c r="C66" s="36"/>
      <c r="D66" s="37"/>
      <c r="E66" s="39"/>
      <c r="F66" s="17">
        <f t="shared" si="11"/>
        <v>0</v>
      </c>
      <c r="G66" s="27"/>
      <c r="H66" s="22">
        <v>43848</v>
      </c>
      <c r="I66" s="23">
        <v>8690</v>
      </c>
      <c r="J66" s="46" t="s">
        <v>43</v>
      </c>
      <c r="K66" s="48" t="s">
        <v>97</v>
      </c>
      <c r="L66" s="49" t="s">
        <v>98</v>
      </c>
      <c r="M66" s="50"/>
      <c r="N66" s="50"/>
      <c r="O66" s="49"/>
    </row>
    <row r="67" s="1" customFormat="1" ht="18" customHeight="1" spans="1:15">
      <c r="A67" s="35"/>
      <c r="B67" s="17">
        <f t="shared" si="10"/>
        <v>0</v>
      </c>
      <c r="C67" s="36"/>
      <c r="D67" s="37"/>
      <c r="E67" s="39"/>
      <c r="F67" s="17">
        <f t="shared" si="11"/>
        <v>0</v>
      </c>
      <c r="G67" s="27"/>
      <c r="H67" s="22"/>
      <c r="I67" s="23"/>
      <c r="J67" s="46"/>
      <c r="K67" s="48"/>
      <c r="L67" s="49"/>
      <c r="M67" s="50"/>
      <c r="N67" s="50"/>
      <c r="O67" s="49"/>
    </row>
    <row r="68" s="1" customFormat="1" ht="18" customHeight="1" spans="1:15">
      <c r="A68" s="35"/>
      <c r="B68" s="17">
        <f t="shared" si="10"/>
        <v>0</v>
      </c>
      <c r="C68" s="36"/>
      <c r="D68" s="37"/>
      <c r="E68" s="39"/>
      <c r="F68" s="17">
        <f t="shared" si="11"/>
        <v>0</v>
      </c>
      <c r="G68" s="27"/>
      <c r="H68" s="22"/>
      <c r="I68" s="23"/>
      <c r="J68" s="46"/>
      <c r="K68" s="48"/>
      <c r="L68" s="49"/>
      <c r="M68" s="50"/>
      <c r="N68" s="50"/>
      <c r="O68" s="49"/>
    </row>
    <row r="69" s="1" customFormat="1" ht="18" customHeight="1" spans="1:15">
      <c r="A69" s="35"/>
      <c r="B69" s="17">
        <f t="shared" si="10"/>
        <v>0</v>
      </c>
      <c r="C69" s="36"/>
      <c r="D69" s="37"/>
      <c r="E69" s="39"/>
      <c r="F69" s="17">
        <f t="shared" si="11"/>
        <v>0</v>
      </c>
      <c r="G69" s="27"/>
      <c r="H69" s="22">
        <v>43847</v>
      </c>
      <c r="I69" s="23">
        <v>50</v>
      </c>
      <c r="J69" s="46" t="s">
        <v>112</v>
      </c>
      <c r="K69" s="48" t="s">
        <v>120</v>
      </c>
      <c r="L69" s="49"/>
      <c r="M69" s="50"/>
      <c r="N69" s="50"/>
      <c r="O69" s="49"/>
    </row>
    <row r="70" s="1" customFormat="1" ht="18" customHeight="1" spans="1:15">
      <c r="A70" s="35"/>
      <c r="B70" s="17">
        <f t="shared" si="10"/>
        <v>0</v>
      </c>
      <c r="C70" s="36"/>
      <c r="D70" s="37"/>
      <c r="E70" s="39"/>
      <c r="F70" s="17">
        <f t="shared" si="11"/>
        <v>0</v>
      </c>
      <c r="G70" s="27"/>
      <c r="H70" s="22">
        <v>43817</v>
      </c>
      <c r="I70" s="23">
        <v>50</v>
      </c>
      <c r="J70" s="46" t="s">
        <v>112</v>
      </c>
      <c r="K70" s="48" t="s">
        <v>120</v>
      </c>
      <c r="L70" s="49"/>
      <c r="M70" s="50"/>
      <c r="N70" s="50"/>
      <c r="O70" s="49"/>
    </row>
    <row r="71" s="1" customFormat="1" ht="18" customHeight="1" spans="1:15">
      <c r="A71" s="35"/>
      <c r="B71" s="17">
        <f t="shared" si="10"/>
        <v>0</v>
      </c>
      <c r="C71" s="36"/>
      <c r="D71" s="37"/>
      <c r="E71" s="39"/>
      <c r="F71" s="17">
        <f t="shared" si="11"/>
        <v>0</v>
      </c>
      <c r="G71" s="27"/>
      <c r="H71" s="22" t="s">
        <v>121</v>
      </c>
      <c r="I71" s="23">
        <v>350</v>
      </c>
      <c r="J71" s="46" t="s">
        <v>112</v>
      </c>
      <c r="K71" s="48" t="s">
        <v>120</v>
      </c>
      <c r="L71" s="49"/>
      <c r="M71" s="50"/>
      <c r="N71" s="50"/>
      <c r="O71" s="49"/>
    </row>
    <row r="72" s="1" customFormat="1" ht="18" customHeight="1" spans="1:15">
      <c r="A72" s="35"/>
      <c r="B72" s="17">
        <f t="shared" ref="B72:B76" si="12">ROUND(G72/(1+E72),2)</f>
        <v>0</v>
      </c>
      <c r="C72" s="36"/>
      <c r="D72" s="37"/>
      <c r="E72" s="39"/>
      <c r="F72" s="17">
        <f t="shared" ref="F72:F76" si="13">ROUND(G72/(1+E72)*E72,2)</f>
        <v>0</v>
      </c>
      <c r="G72" s="27"/>
      <c r="H72" s="22" t="s">
        <v>121</v>
      </c>
      <c r="I72" s="23">
        <v>24894</v>
      </c>
      <c r="J72" s="46" t="s">
        <v>112</v>
      </c>
      <c r="K72" s="48" t="s">
        <v>117</v>
      </c>
      <c r="L72" s="49"/>
      <c r="M72" s="50"/>
      <c r="N72" s="50"/>
      <c r="O72" s="49"/>
    </row>
    <row r="73" s="1" customFormat="1" ht="18" customHeight="1" spans="1:15">
      <c r="A73" s="35"/>
      <c r="B73" s="17">
        <f t="shared" si="12"/>
        <v>0</v>
      </c>
      <c r="C73" s="36"/>
      <c r="D73" s="37"/>
      <c r="E73" s="39"/>
      <c r="F73" s="17">
        <f t="shared" si="13"/>
        <v>0</v>
      </c>
      <c r="G73" s="27"/>
      <c r="H73" s="22" t="s">
        <v>121</v>
      </c>
      <c r="I73" s="23">
        <v>747</v>
      </c>
      <c r="J73" s="46" t="s">
        <v>112</v>
      </c>
      <c r="K73" s="48" t="s">
        <v>118</v>
      </c>
      <c r="L73" s="49"/>
      <c r="M73" s="50"/>
      <c r="N73" s="50"/>
      <c r="O73" s="49"/>
    </row>
    <row r="74" s="1" customFormat="1" ht="18" customHeight="1" spans="1:15">
      <c r="A74" s="35"/>
      <c r="B74" s="17">
        <f t="shared" si="12"/>
        <v>0</v>
      </c>
      <c r="C74" s="36"/>
      <c r="D74" s="37"/>
      <c r="E74" s="39"/>
      <c r="F74" s="17">
        <f t="shared" si="13"/>
        <v>0</v>
      </c>
      <c r="G74" s="27"/>
      <c r="H74" s="22" t="s">
        <v>121</v>
      </c>
      <c r="I74" s="23">
        <v>6000</v>
      </c>
      <c r="J74" s="46" t="s">
        <v>112</v>
      </c>
      <c r="K74" s="48" t="s">
        <v>122</v>
      </c>
      <c r="L74" s="49"/>
      <c r="M74" s="50"/>
      <c r="N74" s="50"/>
      <c r="O74" s="49"/>
    </row>
    <row r="75" s="1" customFormat="1" ht="18" customHeight="1" spans="1:15">
      <c r="A75" s="35"/>
      <c r="B75" s="17">
        <f t="shared" si="12"/>
        <v>0</v>
      </c>
      <c r="C75" s="36"/>
      <c r="D75" s="37"/>
      <c r="E75" s="39"/>
      <c r="F75" s="17">
        <f t="shared" si="13"/>
        <v>0</v>
      </c>
      <c r="G75" s="27"/>
      <c r="H75" s="22"/>
      <c r="I75" s="23">
        <v>79289</v>
      </c>
      <c r="J75" s="46" t="s">
        <v>112</v>
      </c>
      <c r="K75" s="48" t="s">
        <v>117</v>
      </c>
      <c r="L75" s="49"/>
      <c r="M75" s="50"/>
      <c r="N75" s="50"/>
      <c r="O75" s="49"/>
    </row>
    <row r="76" s="1" customFormat="1" ht="18" customHeight="1" spans="1:15">
      <c r="A76" s="35"/>
      <c r="B76" s="17">
        <f t="shared" si="12"/>
        <v>0</v>
      </c>
      <c r="C76" s="36"/>
      <c r="D76" s="37"/>
      <c r="E76" s="39"/>
      <c r="F76" s="17">
        <f t="shared" si="13"/>
        <v>0</v>
      </c>
      <c r="G76" s="27"/>
      <c r="H76" s="22"/>
      <c r="I76" s="23">
        <v>2785</v>
      </c>
      <c r="J76" s="46" t="s">
        <v>112</v>
      </c>
      <c r="K76" s="48" t="s">
        <v>123</v>
      </c>
      <c r="L76" s="49"/>
      <c r="M76" s="50"/>
      <c r="N76" s="50"/>
      <c r="O76" s="49"/>
    </row>
    <row r="77" s="1" customFormat="1" ht="18" customHeight="1" spans="1:15">
      <c r="A77" s="35"/>
      <c r="B77" s="17">
        <f t="shared" ref="B77:B79" si="14">ROUND(G77/(1+E77),2)</f>
        <v>0</v>
      </c>
      <c r="C77" s="36"/>
      <c r="D77" s="37"/>
      <c r="E77" s="39"/>
      <c r="F77" s="17">
        <f t="shared" ref="F77:F79" si="15">ROUND(G77/(1+E77)*E77,2)</f>
        <v>0</v>
      </c>
      <c r="G77" s="27"/>
      <c r="H77" s="22"/>
      <c r="I77" s="23">
        <v>12500</v>
      </c>
      <c r="J77" s="46" t="s">
        <v>112</v>
      </c>
      <c r="K77" s="48" t="s">
        <v>124</v>
      </c>
      <c r="L77" s="49"/>
      <c r="M77" s="50"/>
      <c r="N77" s="50"/>
      <c r="O77" s="49"/>
    </row>
    <row r="78" s="1" customFormat="1" ht="18" customHeight="1" spans="1:15">
      <c r="A78" s="35"/>
      <c r="B78" s="17">
        <f t="shared" si="14"/>
        <v>149028.62</v>
      </c>
      <c r="C78" s="36"/>
      <c r="D78" s="37"/>
      <c r="E78" s="39"/>
      <c r="F78" s="17">
        <f t="shared" si="15"/>
        <v>0</v>
      </c>
      <c r="G78" s="27">
        <f>59343.08+27081.38+62604.16</f>
        <v>149028.62</v>
      </c>
      <c r="H78" s="22"/>
      <c r="I78" s="23">
        <f>G78</f>
        <v>149028.62</v>
      </c>
      <c r="J78" s="46" t="s">
        <v>112</v>
      </c>
      <c r="K78" s="48" t="s">
        <v>125</v>
      </c>
      <c r="L78" s="49"/>
      <c r="M78" s="50"/>
      <c r="N78" s="50"/>
      <c r="O78" s="49"/>
    </row>
    <row r="79" s="1" customFormat="1" ht="18" customHeight="1" spans="1:15">
      <c r="A79" s="35"/>
      <c r="B79" s="17">
        <f t="shared" si="14"/>
        <v>0</v>
      </c>
      <c r="C79" s="36"/>
      <c r="D79" s="37"/>
      <c r="E79" s="39"/>
      <c r="F79" s="17">
        <f t="shared" si="15"/>
        <v>0</v>
      </c>
      <c r="G79" s="27"/>
      <c r="H79" s="22"/>
      <c r="I79" s="23"/>
      <c r="J79" s="46"/>
      <c r="K79" s="48"/>
      <c r="L79" s="49"/>
      <c r="M79" s="50"/>
      <c r="N79" s="50"/>
      <c r="O79" s="49"/>
    </row>
    <row r="80" ht="18" customHeight="1" spans="1:15">
      <c r="A80" s="30" t="s">
        <v>25</v>
      </c>
      <c r="B80" s="29">
        <f>SUM(B14:B79)</f>
        <v>5179761.47</v>
      </c>
      <c r="C80" s="30"/>
      <c r="D80" s="53"/>
      <c r="E80" s="53"/>
      <c r="F80" s="32">
        <f>SUM(F14:F79)</f>
        <v>397947.26</v>
      </c>
      <c r="G80" s="54">
        <f>SUM(G14:G79)</f>
        <v>5577708.73</v>
      </c>
      <c r="H80" s="55"/>
      <c r="I80" s="31">
        <f>SUM(I14:I79)</f>
        <v>5677894.95</v>
      </c>
      <c r="J80" s="63"/>
      <c r="K80" s="53"/>
      <c r="L80" s="33"/>
      <c r="M80" s="46"/>
      <c r="N80" s="46"/>
      <c r="O80" s="33"/>
    </row>
    <row r="81" ht="18" customHeight="1" spans="1:14">
      <c r="A81" s="56" t="s">
        <v>126</v>
      </c>
      <c r="B81" s="57">
        <f>B11*0.98</f>
        <v>5104896.37706422</v>
      </c>
      <c r="C81" s="56"/>
      <c r="D81" s="58"/>
      <c r="E81" s="58"/>
      <c r="F81" s="57"/>
      <c r="G81" s="57">
        <f>G11-G80</f>
        <v>100186.22</v>
      </c>
      <c r="H81" s="21" t="s">
        <v>127</v>
      </c>
      <c r="I81" s="31">
        <f>I11-I80</f>
        <v>0</v>
      </c>
      <c r="J81" s="6"/>
      <c r="K81" s="64"/>
      <c r="M81" s="65"/>
      <c r="N81" s="65"/>
    </row>
    <row r="82" ht="18" customHeight="1" spans="1:14">
      <c r="A82" s="56" t="s">
        <v>128</v>
      </c>
      <c r="B82" s="57">
        <f>B81-B80</f>
        <v>-74865.0929357791</v>
      </c>
      <c r="C82" s="56"/>
      <c r="D82" s="58"/>
      <c r="E82" s="58"/>
      <c r="F82" s="57"/>
      <c r="G82" s="57"/>
      <c r="H82" s="59"/>
      <c r="I82" s="57"/>
      <c r="J82" s="6"/>
      <c r="K82" s="64"/>
      <c r="M82" s="65"/>
      <c r="N82" s="65"/>
    </row>
    <row r="83" ht="18" customHeight="1" spans="1:3">
      <c r="A83" s="2" t="s">
        <v>129</v>
      </c>
      <c r="C83" s="2"/>
    </row>
    <row r="84" ht="18" customHeight="1" spans="1:8">
      <c r="A84" s="21" t="s">
        <v>130</v>
      </c>
      <c r="B84" s="20" t="s">
        <v>131</v>
      </c>
      <c r="C84" s="33"/>
      <c r="D84" s="21" t="s">
        <v>130</v>
      </c>
      <c r="E84" s="19" t="s">
        <v>17</v>
      </c>
      <c r="F84" s="20" t="s">
        <v>131</v>
      </c>
      <c r="G84" s="20" t="s">
        <v>132</v>
      </c>
      <c r="H84" s="20" t="s">
        <v>133</v>
      </c>
    </row>
    <row r="85" ht="18" customHeight="1" spans="1:8">
      <c r="A85" s="33" t="s">
        <v>135</v>
      </c>
      <c r="B85" s="17">
        <f>(B81-B80)*0.25</f>
        <v>-18716.2732339448</v>
      </c>
      <c r="C85" s="33"/>
      <c r="D85" s="28" t="s">
        <v>136</v>
      </c>
      <c r="E85" s="21" t="s">
        <v>137</v>
      </c>
      <c r="F85" s="32">
        <f>F11-F80</f>
        <v>-4043.05449541251</v>
      </c>
      <c r="G85" s="32">
        <v>0</v>
      </c>
      <c r="H85" s="32">
        <v>0</v>
      </c>
    </row>
    <row r="86" ht="18" customHeight="1" spans="1:8">
      <c r="A86" s="33" t="s">
        <v>138</v>
      </c>
      <c r="B86" s="60" t="s">
        <v>139</v>
      </c>
      <c r="C86" s="33"/>
      <c r="D86" s="61" t="s">
        <v>140</v>
      </c>
      <c r="E86" s="13">
        <v>0.05</v>
      </c>
      <c r="F86" s="23">
        <f>F85*E86</f>
        <v>-202.152724770625</v>
      </c>
      <c r="G86" s="23">
        <v>0</v>
      </c>
      <c r="H86" s="23">
        <v>0</v>
      </c>
    </row>
    <row r="87" ht="18" customHeight="1" spans="1:8">
      <c r="A87" s="33" t="s">
        <v>118</v>
      </c>
      <c r="B87" s="60"/>
      <c r="C87" s="33"/>
      <c r="D87" s="61" t="s">
        <v>141</v>
      </c>
      <c r="E87" s="13">
        <v>0.03</v>
      </c>
      <c r="F87" s="23">
        <f>F85*E87</f>
        <v>-121.291634862375</v>
      </c>
      <c r="G87" s="23">
        <v>0</v>
      </c>
      <c r="H87" s="23">
        <v>0</v>
      </c>
    </row>
    <row r="88" ht="18" customHeight="1" spans="1:8">
      <c r="A88" s="33"/>
      <c r="B88" s="23"/>
      <c r="C88" s="33"/>
      <c r="D88" s="61" t="s">
        <v>142</v>
      </c>
      <c r="E88" s="13">
        <v>0.02</v>
      </c>
      <c r="F88" s="23">
        <f>F85*E88</f>
        <v>-80.8610899082502</v>
      </c>
      <c r="G88" s="23">
        <v>0</v>
      </c>
      <c r="H88" s="23">
        <v>0</v>
      </c>
    </row>
    <row r="89" ht="18" customHeight="1" spans="1:8">
      <c r="A89" s="28" t="s">
        <v>143</v>
      </c>
      <c r="B89" s="29">
        <f t="shared" ref="B89:G89" si="16">SUM(B85:B88)</f>
        <v>-18716.2732339448</v>
      </c>
      <c r="C89" s="33"/>
      <c r="D89" s="34" t="s">
        <v>143</v>
      </c>
      <c r="E89" s="28"/>
      <c r="F89" s="32">
        <f t="shared" si="16"/>
        <v>-4447.35994495376</v>
      </c>
      <c r="G89" s="32">
        <f t="shared" si="16"/>
        <v>0</v>
      </c>
      <c r="H89" s="32">
        <v>0</v>
      </c>
    </row>
    <row r="90" ht="18" customHeight="1" spans="3:8">
      <c r="C90" s="2"/>
      <c r="D90" s="11" t="s">
        <v>138</v>
      </c>
      <c r="E90" s="52">
        <v>0.0003</v>
      </c>
      <c r="F90" s="23">
        <f>G11*E90</f>
        <v>1703.368485</v>
      </c>
      <c r="G90" s="62">
        <f>G7*E90</f>
        <v>406.2207</v>
      </c>
      <c r="H90" s="23">
        <v>0</v>
      </c>
    </row>
    <row r="91" ht="18" customHeight="1" spans="3:8">
      <c r="C91" s="2"/>
      <c r="D91" s="11" t="s">
        <v>118</v>
      </c>
      <c r="E91" s="52">
        <v>0.0006</v>
      </c>
      <c r="F91" s="23">
        <f>B11*E91</f>
        <v>3125.44676146789</v>
      </c>
      <c r="G91" s="23">
        <f>(B7+B8)*E91</f>
        <v>2378.65486238532</v>
      </c>
      <c r="H91" s="23">
        <f>B9*E91</f>
        <v>746.791899082566</v>
      </c>
    </row>
    <row r="92" ht="18" customHeight="1" spans="3:8">
      <c r="C92" s="2"/>
      <c r="D92" s="19" t="s">
        <v>143</v>
      </c>
      <c r="E92" s="53"/>
      <c r="F92" s="31">
        <f>F91+F90</f>
        <v>4828.81524646789</v>
      </c>
      <c r="G92" s="31">
        <f>G90+G91</f>
        <v>2784.87556238532</v>
      </c>
      <c r="H92" s="31">
        <f>H91</f>
        <v>746.791899082566</v>
      </c>
    </row>
    <row r="93" ht="18" customHeight="1" spans="3:8">
      <c r="C93" s="2"/>
      <c r="D93" s="19" t="s">
        <v>25</v>
      </c>
      <c r="E93" s="30"/>
      <c r="F93" s="31">
        <f>F89+F92</f>
        <v>381.455301514132</v>
      </c>
      <c r="G93" s="31">
        <f>G89+G92</f>
        <v>2784.87556238532</v>
      </c>
      <c r="H93" s="31">
        <f>H89+H92</f>
        <v>746.791899082566</v>
      </c>
    </row>
    <row r="94" ht="18" customHeight="1" spans="3:8">
      <c r="C94" s="2"/>
      <c r="D94" s="30" t="s">
        <v>135</v>
      </c>
      <c r="E94" s="53">
        <v>0.02</v>
      </c>
      <c r="F94" s="31">
        <f>B11*E94</f>
        <v>104181.558715596</v>
      </c>
      <c r="G94" s="31">
        <f>(B7+B8)*E94</f>
        <v>79288.495412844</v>
      </c>
      <c r="H94" s="31">
        <f>B9*E94</f>
        <v>24893.0633027522</v>
      </c>
    </row>
    <row r="95" ht="18" customHeight="1" spans="3:7">
      <c r="C95" s="2"/>
      <c r="G95" s="3">
        <f>B82*0.25</f>
        <v>-18716.2732339448</v>
      </c>
    </row>
    <row r="96" ht="18" customHeight="1" spans="3:3">
      <c r="C96" s="2"/>
    </row>
    <row r="97" ht="18" customHeight="1" spans="3:3">
      <c r="C97" s="2"/>
    </row>
    <row r="98" spans="3:3">
      <c r="C98" s="2"/>
    </row>
    <row r="99" spans="3:3">
      <c r="C99" s="2"/>
    </row>
    <row r="100" spans="3:3">
      <c r="C100" s="2"/>
    </row>
    <row r="101" spans="3:3">
      <c r="C101" s="2"/>
    </row>
    <row r="102" spans="3:3">
      <c r="C102" s="2"/>
    </row>
    <row r="103" spans="3:3">
      <c r="C103" s="2"/>
    </row>
    <row r="104" spans="3:3">
      <c r="C104" s="2"/>
    </row>
    <row r="105" spans="3:3">
      <c r="C105" s="2"/>
    </row>
    <row r="106" spans="3:3">
      <c r="C106" s="2"/>
    </row>
    <row r="107" spans="3:3">
      <c r="C107" s="2"/>
    </row>
    <row r="108" spans="3:3">
      <c r="C108" s="2"/>
    </row>
    <row r="109" spans="3:3">
      <c r="C109" s="2"/>
    </row>
    <row r="110" spans="3:3">
      <c r="C110" s="2"/>
    </row>
    <row r="111" spans="3:3">
      <c r="C111" s="2"/>
    </row>
    <row r="112" spans="3:3">
      <c r="C112" s="2"/>
    </row>
    <row r="113" spans="3:3">
      <c r="C113" s="2"/>
    </row>
  </sheetData>
  <protectedRanges>
    <protectedRange sqref="I40" name="区域1"/>
    <protectedRange sqref="I48" name="区域1_1"/>
  </protectedRanges>
  <autoFilter ref="A13:S95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" rangeCreator="" othersAccessPermission="edit"/>
    <arrUserId title="区域1_1" rangeCreator="" othersAccessPermission="edit"/>
  </rangeList>
  <rangeList sheetStid="1" master="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2022-05-25T03:25:35Z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643E0E9952FB4145BD255298663658EB</vt:lpwstr>
  </property>
</Properties>
</file>