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8"/>
  </bookViews>
  <sheets>
    <sheet name="新" sheetId="1" r:id="rId1"/>
    <sheet name="Sheet2" sheetId="2" r:id="rId2"/>
    <sheet name="6.2次" sheetId="3" r:id="rId3"/>
    <sheet name="6.3次" sheetId="4" r:id="rId4"/>
    <sheet name="6.4" sheetId="5" r:id="rId5"/>
    <sheet name="7次" sheetId="6" r:id="rId6"/>
    <sheet name="8次" sheetId="7" r:id="rId7"/>
    <sheet name="8次 (2)" sheetId="8" r:id="rId8"/>
    <sheet name="8次 (3)" sheetId="9" r:id="rId9"/>
  </sheets>
  <definedNames>
    <definedName name="_xlnm._FilterDatabase" localSheetId="0" hidden="1">新!$A$15:$R$93</definedName>
    <definedName name="_xlnm._FilterDatabase" localSheetId="2" hidden="1">'6.2次'!$A$15:$R$96</definedName>
    <definedName name="_xlnm._FilterDatabase" localSheetId="3" hidden="1">'6.3次'!$A$15:$R$100</definedName>
    <definedName name="_xlnm._FilterDatabase" localSheetId="4" hidden="1">'6.4'!$A$15:$R$100</definedName>
    <definedName name="_xlnm._FilterDatabase" localSheetId="5" hidden="1">'7次'!$A$15:$R$112</definedName>
    <definedName name="_xlnm._FilterDatabase" localSheetId="6" hidden="1">'8次'!$A$15:$R$121</definedName>
    <definedName name="_xlnm._FilterDatabase" localSheetId="7" hidden="1">'8次 (2)'!$A$15:$R$134</definedName>
    <definedName name="_xlnm._FilterDatabase" localSheetId="8" hidden="1">'8次 (3)'!$A$18:$R$127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cw05</author>
    <author>cw01</author>
  </authors>
  <commentList>
    <comment ref="G23" authorId="0">
      <text>
        <r>
          <rPr>
            <sz val="9"/>
            <rFont val="宋体"/>
            <charset val="134"/>
          </rPr>
          <t>cw09:
此票1月份开具</t>
        </r>
      </text>
    </comment>
    <comment ref="A6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71" authorId="0">
      <text>
        <r>
          <rPr>
            <sz val="9"/>
            <rFont val="宋体"/>
            <charset val="134"/>
          </rPr>
          <t xml:space="preserve">cw09:
王光如卡已收款 246183元  2020.1.8
</t>
        </r>
      </text>
    </comment>
    <comment ref="E75" authorId="2">
      <text>
        <r>
          <rPr>
            <sz val="9"/>
            <rFont val="宋体"/>
            <charset val="134"/>
          </rPr>
          <t>cw01:
何总说企税按照2%收取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  <author>cw01</author>
  </authors>
  <commentList>
    <comment ref="G23" authorId="0">
      <text>
        <r>
          <rPr>
            <sz val="9"/>
            <rFont val="宋体"/>
            <charset val="134"/>
          </rPr>
          <t>cw09:
此票1月份开具</t>
        </r>
      </text>
    </comment>
    <comment ref="A7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74" authorId="0">
      <text>
        <r>
          <rPr>
            <sz val="9"/>
            <rFont val="宋体"/>
            <charset val="134"/>
          </rPr>
          <t xml:space="preserve">cw09:
王光如卡已收款 246183元  2020.1.8
</t>
        </r>
      </text>
    </comment>
    <comment ref="E78" authorId="2">
      <text>
        <r>
          <rPr>
            <sz val="9"/>
            <rFont val="宋体"/>
            <charset val="134"/>
          </rPr>
          <t>cw01:
何总说企税按照2%收取</t>
        </r>
      </text>
    </comment>
  </commentList>
</comments>
</file>

<file path=xl/comments3.xml><?xml version="1.0" encoding="utf-8"?>
<comments xmlns="http://schemas.openxmlformats.org/spreadsheetml/2006/main">
  <authors>
    <author>cw09</author>
    <author>cw05</author>
    <author>cw01</author>
  </authors>
  <commentList>
    <comment ref="G23" authorId="0">
      <text>
        <r>
          <rPr>
            <sz val="9"/>
            <rFont val="宋体"/>
            <charset val="134"/>
          </rPr>
          <t>cw09:
此票1月份开具</t>
        </r>
      </text>
    </comment>
    <comment ref="A7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6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78" authorId="0">
      <text>
        <r>
          <rPr>
            <sz val="9"/>
            <rFont val="宋体"/>
            <charset val="134"/>
          </rPr>
          <t xml:space="preserve">cw09:
王光如卡已收款 246183元  2020.1.8
</t>
        </r>
      </text>
    </comment>
    <comment ref="E82" authorId="2">
      <text>
        <r>
          <rPr>
            <sz val="9"/>
            <rFont val="宋体"/>
            <charset val="134"/>
          </rPr>
          <t>cw01:
何总说企税按照2%收取</t>
        </r>
      </text>
    </comment>
  </commentList>
</comments>
</file>

<file path=xl/comments4.xml><?xml version="1.0" encoding="utf-8"?>
<comments xmlns="http://schemas.openxmlformats.org/spreadsheetml/2006/main">
  <authors>
    <author>cw09</author>
    <author>cw05</author>
    <author>cw01</author>
  </authors>
  <commentList>
    <comment ref="G23" authorId="0">
      <text>
        <r>
          <rPr>
            <sz val="9"/>
            <rFont val="宋体"/>
            <charset val="134"/>
          </rPr>
          <t>cw09:
此票1月份开具</t>
        </r>
      </text>
    </comment>
    <comment ref="A7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6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78" authorId="0">
      <text>
        <r>
          <rPr>
            <sz val="9"/>
            <rFont val="宋体"/>
            <charset val="134"/>
          </rPr>
          <t xml:space="preserve">cw09:
王光如卡已收款 246183元  2020.1.8
</t>
        </r>
      </text>
    </comment>
    <comment ref="E82" authorId="2">
      <text>
        <r>
          <rPr>
            <sz val="9"/>
            <rFont val="宋体"/>
            <charset val="134"/>
          </rPr>
          <t>cw01:
何总说企税按照2%收取</t>
        </r>
      </text>
    </comment>
  </commentList>
</comments>
</file>

<file path=xl/comments5.xml><?xml version="1.0" encoding="utf-8"?>
<comments xmlns="http://schemas.openxmlformats.org/spreadsheetml/2006/main">
  <authors>
    <author>cw09</author>
    <author>cw05</author>
    <author>cw01</author>
  </authors>
  <commentList>
    <comment ref="G23" authorId="0">
      <text>
        <r>
          <rPr>
            <sz val="9"/>
            <rFont val="宋体"/>
            <charset val="134"/>
          </rPr>
          <t>cw09:
此票1月份开具</t>
        </r>
      </text>
    </comment>
    <comment ref="A87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8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90" authorId="0">
      <text>
        <r>
          <rPr>
            <sz val="9"/>
            <rFont val="宋体"/>
            <charset val="134"/>
          </rPr>
          <t xml:space="preserve">cw09:
王光如卡已收款 246183元  2020.1.8
</t>
        </r>
      </text>
    </comment>
    <comment ref="E94" authorId="2">
      <text>
        <r>
          <rPr>
            <sz val="9"/>
            <rFont val="宋体"/>
            <charset val="134"/>
          </rPr>
          <t>cw01:
何总说企税按照2%收取</t>
        </r>
      </text>
    </comment>
  </commentList>
</comments>
</file>

<file path=xl/comments6.xml><?xml version="1.0" encoding="utf-8"?>
<comments xmlns="http://schemas.openxmlformats.org/spreadsheetml/2006/main">
  <authors>
    <author>cw09</author>
    <author>cw05</author>
    <author>cw01</author>
  </authors>
  <commentList>
    <comment ref="G23" authorId="0">
      <text>
        <r>
          <rPr>
            <sz val="9"/>
            <rFont val="宋体"/>
            <charset val="134"/>
          </rPr>
          <t>cw09:
此票1月份开具</t>
        </r>
      </text>
    </comment>
    <comment ref="A96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9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99" authorId="0">
      <text>
        <r>
          <rPr>
            <sz val="9"/>
            <rFont val="宋体"/>
            <charset val="134"/>
          </rPr>
          <t xml:space="preserve">cw09:
王光如卡已收款 246183元  2020.1.8
</t>
        </r>
      </text>
    </comment>
    <comment ref="E103" authorId="2">
      <text>
        <r>
          <rPr>
            <sz val="9"/>
            <rFont val="宋体"/>
            <charset val="134"/>
          </rPr>
          <t>cw01:
何总说企税按照2%收取</t>
        </r>
      </text>
    </comment>
  </commentList>
</comments>
</file>

<file path=xl/comments7.xml><?xml version="1.0" encoding="utf-8"?>
<comments xmlns="http://schemas.openxmlformats.org/spreadsheetml/2006/main">
  <authors>
    <author>cw09</author>
    <author>cw05</author>
    <author>cw01</author>
  </authors>
  <commentList>
    <comment ref="G23" authorId="0">
      <text>
        <r>
          <rPr>
            <sz val="9"/>
            <rFont val="宋体"/>
            <charset val="134"/>
          </rPr>
          <t>cw09:
此票1月份开具</t>
        </r>
      </text>
    </comment>
    <comment ref="A10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112" authorId="0">
      <text>
        <r>
          <rPr>
            <sz val="9"/>
            <rFont val="宋体"/>
            <charset val="134"/>
          </rPr>
          <t xml:space="preserve">cw09:
王光如卡已收款 246183元  2020.1.8
</t>
        </r>
      </text>
    </comment>
    <comment ref="E116" authorId="2">
      <text>
        <r>
          <rPr>
            <sz val="9"/>
            <rFont val="宋体"/>
            <charset val="134"/>
          </rPr>
          <t>cw01:
何总说企税按照2%收取</t>
        </r>
      </text>
    </comment>
  </commentList>
</comments>
</file>

<file path=xl/comments8.xml><?xml version="1.0" encoding="utf-8"?>
<comments xmlns="http://schemas.openxmlformats.org/spreadsheetml/2006/main">
  <authors>
    <author>cw09</author>
    <author>cw05</author>
    <author>cw015</author>
    <author>cw01</author>
  </authors>
  <commentList>
    <comment ref="G26" authorId="0">
      <text>
        <r>
          <rPr>
            <sz val="9"/>
            <rFont val="宋体"/>
            <charset val="134"/>
          </rPr>
          <t>cw09:
此票1月份开具</t>
        </r>
      </text>
    </comment>
    <comment ref="A12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2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12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8.2已汇入孙圣超卡中</t>
        </r>
      </text>
    </comment>
    <comment ref="H12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19.10.11从孙圣超卡中退回</t>
        </r>
      </text>
    </comment>
    <comment ref="I124" authorId="0">
      <text>
        <r>
          <rPr>
            <sz val="9"/>
            <rFont val="宋体"/>
            <charset val="134"/>
          </rPr>
          <t xml:space="preserve">cw09:
王光如卡已收款 246183元  2020.1.8
</t>
        </r>
      </text>
    </comment>
    <comment ref="K12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20.4月王光如卡中退回</t>
        </r>
      </text>
    </comment>
    <comment ref="L12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20-6-2扣</t>
        </r>
      </text>
    </comment>
    <comment ref="G12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1次中扣</t>
        </r>
      </text>
    </comment>
    <comment ref="I12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3次中扣</t>
        </r>
      </text>
    </comment>
    <comment ref="L12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20-5-21扣</t>
        </r>
      </text>
    </comment>
    <comment ref="M12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7次中扣</t>
        </r>
      </text>
    </comment>
    <comment ref="E126" authorId="3">
      <text>
        <r>
          <rPr>
            <sz val="9"/>
            <rFont val="宋体"/>
            <charset val="134"/>
          </rPr>
          <t>cw01:
何总说企税按照2%收取</t>
        </r>
      </text>
    </comment>
    <comment ref="G126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1次中扣</t>
        </r>
      </text>
    </comment>
    <comment ref="I126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3次中扣</t>
        </r>
      </text>
    </comment>
    <comment ref="L126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20-5-21扣</t>
        </r>
      </text>
    </comment>
    <comment ref="M126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7次中扣</t>
        </r>
      </text>
    </comment>
  </commentList>
</comments>
</file>

<file path=xl/sharedStrings.xml><?xml version="1.0" encoding="utf-8"?>
<sst xmlns="http://schemas.openxmlformats.org/spreadsheetml/2006/main" count="2211" uniqueCount="158">
  <si>
    <t>大埔县湖寮镇双坑至双髻山旅游产业公路新建工程施工</t>
  </si>
  <si>
    <t>中标日期</t>
  </si>
  <si>
    <t>中标价</t>
  </si>
  <si>
    <t>负责人</t>
  </si>
  <si>
    <t>杨学良</t>
  </si>
  <si>
    <t>建设单位</t>
  </si>
  <si>
    <t>大埔县湖寮镇人民政府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</si>
  <si>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</si>
  <si>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</si>
  <si>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</si>
  <si>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</si>
  <si>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</si>
  <si>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</si>
  <si>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</si>
  <si>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</si>
  <si>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</si>
  <si>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</si>
  <si>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</si>
  <si>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</si>
  <si>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</si>
  <si>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</si>
  <si>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</si>
  <si>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专户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</si>
  <si>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</si>
  <si>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</si>
  <si>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</si>
  <si>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</si>
  <si>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</si>
  <si>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</si>
  <si>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</si>
  <si>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</si>
  <si>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</si>
  <si>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</si>
  <si>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</si>
  <si>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</si>
  <si>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</si>
  <si>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</si>
  <si>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</si>
  <si>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专</t>
  </si>
  <si>
    <t>梅州市宏宝水泥有限公司</t>
  </si>
  <si>
    <t>水泥2187.5吨</t>
  </si>
  <si>
    <t>有</t>
  </si>
  <si>
    <t>有2288.23吨货单</t>
  </si>
  <si>
    <t>深圳市兴新源贸易有限公司</t>
  </si>
  <si>
    <t>机械租赁</t>
  </si>
  <si>
    <t>水泥1670吨</t>
  </si>
  <si>
    <t>有1711.6吨货单</t>
  </si>
  <si>
    <t>梅州市宇安实业有限公司</t>
  </si>
  <si>
    <t>工程服务</t>
  </si>
  <si>
    <t>广东省宇安实业有限公司</t>
  </si>
  <si>
    <t>大埔森鑫源建材有限公司</t>
  </si>
  <si>
    <t>钢材104吨</t>
  </si>
  <si>
    <t>水泥780吨</t>
  </si>
  <si>
    <t>深圳市佳信建筑劳务有限公司</t>
  </si>
  <si>
    <t>劳务费</t>
  </si>
  <si>
    <t>水泥</t>
  </si>
  <si>
    <t>税局代开</t>
  </si>
  <si>
    <t>徽行</t>
  </si>
  <si>
    <t>梁艳、黄明清、沈文昌、许春燕各49580</t>
  </si>
  <si>
    <t>扣</t>
  </si>
  <si>
    <t>手续费</t>
  </si>
  <si>
    <t>退</t>
  </si>
  <si>
    <t>企税（已全额退）</t>
  </si>
  <si>
    <t>增值税及附加</t>
  </si>
  <si>
    <t>2020.1.10-2020.7.10 建造师占用费</t>
  </si>
  <si>
    <t>暂扣</t>
  </si>
  <si>
    <t xml:space="preserve">企税 </t>
  </si>
  <si>
    <t>水利基金</t>
  </si>
  <si>
    <t>企税2%（2020.5.11开票）</t>
  </si>
  <si>
    <t>之前暂扣企税（部分，剩余待成本发票提供全）</t>
  </si>
  <si>
    <t>4次</t>
  </si>
  <si>
    <t>3次</t>
  </si>
  <si>
    <t>企税</t>
  </si>
  <si>
    <t>企税2%（2020.01.08开票）</t>
  </si>
  <si>
    <t>建造师占用费</t>
  </si>
  <si>
    <t>管理费（合同已全部扣完）</t>
  </si>
  <si>
    <t>1次</t>
  </si>
  <si>
    <t>之前暂扣企税</t>
  </si>
  <si>
    <t>收</t>
  </si>
  <si>
    <t>已打孙会计卡</t>
  </si>
  <si>
    <t>企税2%</t>
  </si>
  <si>
    <t>管理费</t>
  </si>
  <si>
    <t>剩余工程款</t>
  </si>
  <si>
    <t>应提供成本</t>
  </si>
  <si>
    <t>可支付金额</t>
  </si>
  <si>
    <t>尚需提供成本</t>
  </si>
  <si>
    <t>公司代缴税金：</t>
  </si>
  <si>
    <t>税种</t>
  </si>
  <si>
    <t>税额</t>
  </si>
  <si>
    <t>19.8月开票应交税费</t>
  </si>
  <si>
    <t>19.8月开票扣税</t>
  </si>
  <si>
    <t>20.1开票扣税</t>
  </si>
  <si>
    <t>20.5开票扣税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</si>
  <si>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</si>
  <si>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</si>
  <si>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</si>
  <si>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</si>
  <si>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</si>
  <si>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</si>
  <si>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</si>
  <si>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</si>
  <si>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</si>
  <si>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8.2孙会计卡 已收款181186元</t>
  </si>
  <si>
    <t>（可退126711元）</t>
  </si>
  <si>
    <t>可退税</t>
  </si>
  <si>
    <t>可退部分增值税（2020.3.9）</t>
  </si>
  <si>
    <t>10-11已退126710.28</t>
  </si>
  <si>
    <t>2020.4月已退41507.96</t>
  </si>
  <si>
    <t>税局代开电子</t>
  </si>
  <si>
    <t>梁艳、黄明清、沈文昌、许春燕各49910</t>
  </si>
  <si>
    <t>河沙230立方*3、河沙217吨</t>
  </si>
  <si>
    <t>黄明清</t>
  </si>
  <si>
    <t>梁艳</t>
  </si>
  <si>
    <t>6.2次</t>
  </si>
  <si>
    <t>无</t>
  </si>
  <si>
    <t>沈文昌</t>
  </si>
  <si>
    <t>6.3次</t>
  </si>
  <si>
    <t>2020.5.28</t>
  </si>
  <si>
    <t>2020.6.30</t>
  </si>
  <si>
    <t>2020.8.27</t>
  </si>
  <si>
    <t>河沙230立方*4</t>
  </si>
  <si>
    <t>2020.9.25</t>
  </si>
  <si>
    <t>2020.7.30</t>
  </si>
  <si>
    <t>20.9.18开票扣税</t>
  </si>
  <si>
    <t>工商</t>
  </si>
  <si>
    <t>许春燕</t>
  </si>
  <si>
    <t>2020.10.19</t>
  </si>
  <si>
    <t>7次</t>
  </si>
  <si>
    <t>2020.7.10-2020.12.10建造师占用费</t>
  </si>
  <si>
    <t>9.18开票0.02企税</t>
  </si>
  <si>
    <t>9.18开票水利基金</t>
  </si>
  <si>
    <t>农民工工资专户</t>
  </si>
  <si>
    <t>2020.11.04</t>
  </si>
  <si>
    <t>梁艳、黄明清、沈文昌、各49910</t>
  </si>
  <si>
    <t>河沙230立方*3</t>
  </si>
  <si>
    <t>2020.11.06</t>
  </si>
  <si>
    <t>付民工工资7、8、9月工资</t>
  </si>
  <si>
    <t>质安巡查</t>
  </si>
  <si>
    <t>2020.12.29</t>
  </si>
  <si>
    <t>普代</t>
  </si>
  <si>
    <t>碎石230方</t>
  </si>
  <si>
    <t>河沙230立方</t>
  </si>
  <si>
    <t>刘三妹</t>
  </si>
  <si>
    <t>碎石400方</t>
  </si>
  <si>
    <t>许智佳</t>
  </si>
  <si>
    <t>郭世澎</t>
  </si>
  <si>
    <t>2020.12.30</t>
  </si>
  <si>
    <t>2021.1.27</t>
  </si>
  <si>
    <t>企税2%          21.1.21开票</t>
  </si>
  <si>
    <t>水得基金        21.1.21开票</t>
  </si>
  <si>
    <t>增值税及附加    21.1.21开票税金</t>
  </si>
  <si>
    <t>增值税及附加    20.9.18开票税金</t>
  </si>
  <si>
    <t>增值税及附加  20.5月开票税金</t>
  </si>
  <si>
    <t>已打王光如卡 20.1.8</t>
  </si>
  <si>
    <t>增值税及附加  20.1月开票税金</t>
  </si>
  <si>
    <t>增值税及附加   19.8月开票税金</t>
  </si>
  <si>
    <t>退税</t>
  </si>
  <si>
    <t>21.1.21开票税金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</si>
</sst>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#,##0.00_ "/>
    <numFmt numFmtId="179" formatCode="yyyy&quot;年&quot;m&quot;月&quot;;@"/>
    <numFmt numFmtId="180" formatCode="#,##0_ "/>
    <numFmt numFmtId="181" formatCode="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30" borderId="14" applyNumberFormat="0" applyAlignment="0" applyProtection="0">
      <alignment vertical="center"/>
    </xf>
    <xf numFmtId="0" fontId="28" fillId="30" borderId="7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0" fillId="0" borderId="0">
      <protection locked="0"/>
    </xf>
  </cellStyleXfs>
  <cellXfs count="1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5" fillId="0" borderId="0" xfId="0" applyFont="1"/>
    <xf numFmtId="178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9" fontId="1" fillId="3" borderId="2" xfId="11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9" fontId="1" fillId="2" borderId="2" xfId="11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177" fontId="2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9" fontId="1" fillId="3" borderId="2" xfId="1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81" fontId="3" fillId="0" borderId="3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81" fontId="2" fillId="0" borderId="2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8" fontId="9" fillId="0" borderId="2" xfId="49" applyNumberFormat="1" applyFont="1" applyFill="1" applyBorder="1" applyAlignment="1" applyProtection="1">
      <alignment horizontal="right" vertical="center" shrinkToFit="1"/>
    </xf>
    <xf numFmtId="178" fontId="9" fillId="0" borderId="2" xfId="49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81" fontId="3" fillId="0" borderId="2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176" fontId="2" fillId="0" borderId="3" xfId="0" applyNumberFormat="1" applyFont="1" applyBorder="1" applyAlignment="1">
      <alignment horizontal="left" vertical="center"/>
    </xf>
    <xf numFmtId="178" fontId="7" fillId="0" borderId="2" xfId="0" applyNumberFormat="1" applyFont="1" applyBorder="1" applyAlignment="1">
      <alignment vertical="center"/>
    </xf>
    <xf numFmtId="9" fontId="1" fillId="0" borderId="2" xfId="11" applyNumberFormat="1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vertical="center"/>
    </xf>
    <xf numFmtId="180" fontId="1" fillId="7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9" fontId="1" fillId="7" borderId="2" xfId="1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7" fontId="7" fillId="8" borderId="2" xfId="0" applyNumberFormat="1" applyFont="1" applyFill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7" fontId="7" fillId="0" borderId="3" xfId="0" applyNumberFormat="1" applyFont="1" applyBorder="1" applyAlignment="1">
      <alignment horizontal="center" vertical="center"/>
    </xf>
    <xf numFmtId="177" fontId="7" fillId="8" borderId="3" xfId="0" applyNumberFormat="1" applyFont="1" applyFill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7" fontId="8" fillId="7" borderId="2" xfId="0" applyNumberFormat="1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0" fontId="10" fillId="7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179" fontId="1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vertical="center"/>
    </xf>
    <xf numFmtId="180" fontId="1" fillId="5" borderId="2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178" fontId="9" fillId="5" borderId="2" xfId="49" applyNumberFormat="1" applyFont="1" applyFill="1" applyBorder="1" applyAlignment="1" applyProtection="1">
      <alignment horizontal="right" vertical="center" shrinkToFit="1"/>
    </xf>
    <xf numFmtId="178" fontId="9" fillId="5" borderId="2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628650</xdr:colOff>
      <xdr:row>99</xdr:row>
      <xdr:rowOff>123825</xdr:rowOff>
    </xdr:from>
    <xdr:to>
      <xdr:col>10</xdr:col>
      <xdr:colOff>419100</xdr:colOff>
      <xdr:row>125</xdr:row>
      <xdr:rowOff>80645</xdr:rowOff>
    </xdr:to>
    <xdr:pic>
      <xdr:nvPicPr>
        <xdr:cNvPr id="2" name="图片 1" descr="4VP{S7RXL_OY38RP][PD)A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67860" y="21348065"/>
          <a:ext cx="4460240" cy="3671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628650</xdr:colOff>
      <xdr:row>102</xdr:row>
      <xdr:rowOff>123825</xdr:rowOff>
    </xdr:from>
    <xdr:to>
      <xdr:col>10</xdr:col>
      <xdr:colOff>419100</xdr:colOff>
      <xdr:row>128</xdr:row>
      <xdr:rowOff>80645</xdr:rowOff>
    </xdr:to>
    <xdr:pic>
      <xdr:nvPicPr>
        <xdr:cNvPr id="2" name="图片 1" descr="4VP{S7RXL_OY38RP][PD)A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67860" y="22033865"/>
          <a:ext cx="4460240" cy="3671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628650</xdr:colOff>
      <xdr:row>106</xdr:row>
      <xdr:rowOff>123825</xdr:rowOff>
    </xdr:from>
    <xdr:to>
      <xdr:col>10</xdr:col>
      <xdr:colOff>419100</xdr:colOff>
      <xdr:row>132</xdr:row>
      <xdr:rowOff>80645</xdr:rowOff>
    </xdr:to>
    <xdr:pic>
      <xdr:nvPicPr>
        <xdr:cNvPr id="2" name="图片 1" descr="4VP{S7RXL_OY38RP][PD)A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67860" y="22948265"/>
          <a:ext cx="4460240" cy="3671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628650</xdr:colOff>
      <xdr:row>106</xdr:row>
      <xdr:rowOff>123825</xdr:rowOff>
    </xdr:from>
    <xdr:to>
      <xdr:col>10</xdr:col>
      <xdr:colOff>419100</xdr:colOff>
      <xdr:row>132</xdr:row>
      <xdr:rowOff>80645</xdr:rowOff>
    </xdr:to>
    <xdr:pic>
      <xdr:nvPicPr>
        <xdr:cNvPr id="2" name="图片 1" descr="4VP{S7RXL_OY38RP][PD)A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67860" y="22948265"/>
          <a:ext cx="4460240" cy="3671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628650</xdr:colOff>
      <xdr:row>118</xdr:row>
      <xdr:rowOff>123825</xdr:rowOff>
    </xdr:from>
    <xdr:to>
      <xdr:col>10</xdr:col>
      <xdr:colOff>419100</xdr:colOff>
      <xdr:row>144</xdr:row>
      <xdr:rowOff>80645</xdr:rowOff>
    </xdr:to>
    <xdr:pic>
      <xdr:nvPicPr>
        <xdr:cNvPr id="2" name="图片 1" descr="4VP{S7RXL_OY38RP][PD)A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67860" y="25691465"/>
          <a:ext cx="4460240" cy="3671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628650</xdr:colOff>
      <xdr:row>127</xdr:row>
      <xdr:rowOff>123825</xdr:rowOff>
    </xdr:from>
    <xdr:to>
      <xdr:col>10</xdr:col>
      <xdr:colOff>419100</xdr:colOff>
      <xdr:row>153</xdr:row>
      <xdr:rowOff>80645</xdr:rowOff>
    </xdr:to>
    <xdr:pic>
      <xdr:nvPicPr>
        <xdr:cNvPr id="2" name="图片 1" descr="4VP{S7RXL_OY38RP][PD)A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67860" y="27748865"/>
          <a:ext cx="4460240" cy="3671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628650</xdr:colOff>
      <xdr:row>140</xdr:row>
      <xdr:rowOff>123825</xdr:rowOff>
    </xdr:from>
    <xdr:to>
      <xdr:col>10</xdr:col>
      <xdr:colOff>419100</xdr:colOff>
      <xdr:row>166</xdr:row>
      <xdr:rowOff>80645</xdr:rowOff>
    </xdr:to>
    <xdr:pic>
      <xdr:nvPicPr>
        <xdr:cNvPr id="2" name="图片 1" descr="4VP{S7RXL_OY38RP][PD)A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67860" y="30720665"/>
          <a:ext cx="4460240" cy="36715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628650</xdr:colOff>
      <xdr:row>129</xdr:row>
      <xdr:rowOff>123825</xdr:rowOff>
    </xdr:from>
    <xdr:to>
      <xdr:col>10</xdr:col>
      <xdr:colOff>419100</xdr:colOff>
      <xdr:row>155</xdr:row>
      <xdr:rowOff>80645</xdr:rowOff>
    </xdr:to>
    <xdr:pic>
      <xdr:nvPicPr>
        <xdr:cNvPr id="2" name="图片 1" descr="4VP{S7RXL_OY38RP][PD)A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67860" y="29406215"/>
          <a:ext cx="4460240" cy="3671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4"/>
  <sheetViews>
    <sheetView topLeftCell="A16" workbookViewId="0">
      <selection activeCell="K31" sqref="K31"/>
    </sheetView>
  </sheetViews>
  <sheetFormatPr defaultColWidth="9" defaultRowHeight="11.25"/>
  <cols>
    <col min="1" max="1" width="10.75" style="5" customWidth="1"/>
    <col min="2" max="2" width="13.1333333333333" style="6" customWidth="1"/>
    <col min="3" max="3" width="6" style="7" customWidth="1"/>
    <col min="4" max="4" width="14.5" style="7" customWidth="1"/>
    <col min="5" max="5" width="6" style="7" customWidth="1"/>
    <col min="6" max="6" width="13.1333333333333" style="6" customWidth="1"/>
    <col min="7" max="7" width="15.5" style="6" customWidth="1"/>
    <col min="8" max="8" width="12.6333333333333" style="7" customWidth="1"/>
    <col min="9" max="9" width="13.8833333333333" style="6" customWidth="1"/>
    <col min="10" max="10" width="6.13333333333333" style="9" customWidth="1"/>
    <col min="11" max="11" width="31.5" style="10" customWidth="1"/>
    <col min="12" max="12" width="12.75" style="10" customWidth="1"/>
    <col min="13" max="13" width="8.38333333333333" style="10" customWidth="1"/>
    <col min="14" max="14" width="5.63333333333333" style="10" customWidth="1"/>
    <col min="15" max="15" width="9.63333333333333" style="10"/>
    <col min="16" max="17" width="9" style="10"/>
    <col min="18" max="18" width="10.3833333333333" style="10"/>
    <col min="19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2"/>
      <c r="L1" s="22"/>
    </row>
    <row r="2" ht="18" customHeight="1" spans="1:12">
      <c r="A2" s="13" t="s">
        <v>1</v>
      </c>
      <c r="B2" s="14">
        <v>43594</v>
      </c>
      <c r="C2" s="15" t="s">
        <v>2</v>
      </c>
      <c r="D2" s="16">
        <v>17098941</v>
      </c>
      <c r="E2" s="17" t="s">
        <v>3</v>
      </c>
      <c r="F2" s="18" t="s">
        <v>4</v>
      </c>
      <c r="G2" s="19" t="s">
        <v>5</v>
      </c>
      <c r="H2" s="112" t="s">
        <v>6</v>
      </c>
      <c r="I2" s="48"/>
      <c r="J2" s="49"/>
      <c r="K2" s="22"/>
      <c r="L2" s="22"/>
    </row>
    <row r="3" ht="18" customHeight="1" spans="1:12">
      <c r="A3" s="13" t="s">
        <v>7</v>
      </c>
      <c r="B3" s="21"/>
      <c r="C3" s="15" t="s">
        <v>8</v>
      </c>
      <c r="D3" s="15"/>
      <c r="H3" s="22"/>
      <c r="I3" s="50"/>
      <c r="J3" s="22"/>
      <c r="K3" s="22"/>
      <c r="L3" s="22"/>
    </row>
    <row r="4" ht="18" customHeight="1" spans="1:12">
      <c r="A4" s="5" t="s">
        <v>9</v>
      </c>
      <c r="H4" s="22"/>
      <c r="I4" s="50"/>
      <c r="J4" s="22"/>
      <c r="K4" s="22"/>
      <c r="L4" s="22"/>
    </row>
    <row r="5" ht="18" customHeight="1" spans="1:10">
      <c r="A5" s="23" t="s">
        <v>10</v>
      </c>
      <c r="B5" s="24" t="s">
        <v>11</v>
      </c>
      <c r="C5" s="23" t="s">
        <v>12</v>
      </c>
      <c r="D5" s="23"/>
      <c r="E5" s="23" t="s">
        <v>13</v>
      </c>
      <c r="F5" s="24"/>
      <c r="G5" s="24" t="s">
        <v>14</v>
      </c>
      <c r="H5" s="25" t="s">
        <v>15</v>
      </c>
      <c r="I5" s="24"/>
      <c r="J5" s="25"/>
    </row>
    <row r="6" ht="18" customHeight="1" spans="1:10">
      <c r="A6" s="23"/>
      <c r="B6" s="24"/>
      <c r="C6" s="23" t="s">
        <v>16</v>
      </c>
      <c r="D6" s="23" t="s">
        <v>17</v>
      </c>
      <c r="E6" s="23" t="s">
        <v>16</v>
      </c>
      <c r="F6" s="24" t="s">
        <v>17</v>
      </c>
      <c r="G6" s="24"/>
      <c r="H6" s="25" t="s">
        <v>18</v>
      </c>
      <c r="I6" s="24" t="s">
        <v>19</v>
      </c>
      <c r="J6" s="25" t="s">
        <v>20</v>
      </c>
    </row>
    <row r="7" ht="18" customHeight="1" spans="1:10">
      <c r="A7" s="26">
        <v>43679</v>
      </c>
      <c r="B7" s="27">
        <f t="shared" ref="B7" si="0">G7/(1+C7+E7)</f>
        <v>2353065.27522936</v>
      </c>
      <c r="C7" s="28">
        <v>0.02</v>
      </c>
      <c r="D7" s="29">
        <f t="shared" ref="D7" si="1">G7/(1+E7+C7)*C7</f>
        <v>47061.3055045872</v>
      </c>
      <c r="E7" s="28">
        <v>0.07</v>
      </c>
      <c r="F7" s="27">
        <f t="shared" ref="F7" si="2">G7/(1+C7+E7)*E7</f>
        <v>164714.569266055</v>
      </c>
      <c r="G7" s="30">
        <v>2564841.15</v>
      </c>
      <c r="H7" s="26">
        <v>43682</v>
      </c>
      <c r="I7" s="27">
        <v>2564841.15</v>
      </c>
      <c r="J7" s="51" t="s">
        <v>21</v>
      </c>
    </row>
    <row r="8" ht="18" customHeight="1" spans="1:10">
      <c r="A8" s="26"/>
      <c r="B8" s="27"/>
      <c r="C8" s="28"/>
      <c r="D8" s="29"/>
      <c r="E8" s="28"/>
      <c r="F8" s="27"/>
      <c r="G8" s="30"/>
      <c r="H8" s="26">
        <v>43850</v>
      </c>
      <c r="I8" s="27">
        <v>3665176</v>
      </c>
      <c r="J8" s="51" t="s">
        <v>21</v>
      </c>
    </row>
    <row r="9" ht="18" customHeight="1" spans="1:10">
      <c r="A9" s="26">
        <v>43838</v>
      </c>
      <c r="B9" s="27">
        <f>G9/(1+C9+E9)</f>
        <v>4203183.48623853</v>
      </c>
      <c r="C9" s="28">
        <v>0.02</v>
      </c>
      <c r="D9" s="29">
        <f>G9/(1+E9+C9)*C9</f>
        <v>84063.6697247706</v>
      </c>
      <c r="E9" s="31">
        <v>0.07</v>
      </c>
      <c r="F9" s="27">
        <f>G9/(1+C9+E9)*E9</f>
        <v>294222.844036697</v>
      </c>
      <c r="G9" s="30">
        <v>4581470</v>
      </c>
      <c r="H9" s="26">
        <v>43850</v>
      </c>
      <c r="I9" s="27">
        <v>916294</v>
      </c>
      <c r="J9" s="51" t="s">
        <v>22</v>
      </c>
    </row>
    <row r="10" ht="18" customHeight="1" spans="1:10">
      <c r="A10" s="26">
        <v>43962</v>
      </c>
      <c r="B10" s="27">
        <f>G10/(1+C10+E10)</f>
        <v>1109189.41284404</v>
      </c>
      <c r="C10" s="31">
        <v>0.02</v>
      </c>
      <c r="D10" s="29">
        <f>G10/(1+E10+C10)*C10</f>
        <v>22183.7882568807</v>
      </c>
      <c r="E10" s="31">
        <v>0.07</v>
      </c>
      <c r="F10" s="27">
        <f>G10/(1+C10+E10)*E10</f>
        <v>77643.2588990826</v>
      </c>
      <c r="G10" s="30">
        <v>1209016.46</v>
      </c>
      <c r="H10" s="26">
        <v>43971</v>
      </c>
      <c r="I10" s="27">
        <v>1209016.46</v>
      </c>
      <c r="J10" s="51" t="s">
        <v>21</v>
      </c>
    </row>
    <row r="11" ht="18" customHeight="1" spans="1:10">
      <c r="A11" s="26"/>
      <c r="B11" s="27"/>
      <c r="C11" s="31">
        <v>0.02</v>
      </c>
      <c r="D11" s="29">
        <f>G11/(1+E11+C11)*C11</f>
        <v>0</v>
      </c>
      <c r="E11" s="31">
        <v>0.07</v>
      </c>
      <c r="F11" s="27">
        <f>G11/(1+C11+E11)*E11</f>
        <v>0</v>
      </c>
      <c r="G11" s="30"/>
      <c r="H11" s="26"/>
      <c r="I11" s="27"/>
      <c r="J11" s="51"/>
    </row>
    <row r="12" ht="18" customHeight="1" spans="1:10">
      <c r="A12" s="26"/>
      <c r="B12" s="27">
        <f>G12/(1+C12+E12)</f>
        <v>0</v>
      </c>
      <c r="C12" s="28">
        <v>0.02</v>
      </c>
      <c r="D12" s="29">
        <f>G12/(1+E12+C12)*C12</f>
        <v>0</v>
      </c>
      <c r="E12" s="31">
        <v>0.07</v>
      </c>
      <c r="F12" s="27">
        <f>G12/(1+C12+E12)*E12</f>
        <v>0</v>
      </c>
      <c r="G12" s="30"/>
      <c r="H12" s="26"/>
      <c r="I12" s="27"/>
      <c r="J12" s="51"/>
    </row>
    <row r="13" ht="18" customHeight="1" spans="1:10">
      <c r="A13" s="32" t="s">
        <v>23</v>
      </c>
      <c r="B13" s="121">
        <f>SUM(B7:B12)</f>
        <v>7665438.17431193</v>
      </c>
      <c r="C13" s="113"/>
      <c r="D13" s="106">
        <f>SUM(D7:D12)</f>
        <v>153308.763486239</v>
      </c>
      <c r="E13" s="113"/>
      <c r="F13" s="123">
        <f>SUM(F7:F12)</f>
        <v>536580.672201835</v>
      </c>
      <c r="G13" s="106">
        <f>SUM(G7:G12)</f>
        <v>8355327.61</v>
      </c>
      <c r="H13" s="52"/>
      <c r="I13" s="106">
        <f>SUM(I7:I12)</f>
        <v>8355327.61</v>
      </c>
      <c r="J13" s="52"/>
    </row>
    <row r="14" ht="18" customHeight="1" spans="1:12">
      <c r="A14" s="5" t="s">
        <v>24</v>
      </c>
      <c r="J14" s="7"/>
      <c r="K14" s="7"/>
      <c r="L14" s="9"/>
    </row>
    <row r="15" ht="18" customHeight="1" spans="1:15">
      <c r="A15" s="34" t="s">
        <v>25</v>
      </c>
      <c r="B15" s="24" t="s">
        <v>26</v>
      </c>
      <c r="C15" s="23" t="s">
        <v>27</v>
      </c>
      <c r="D15" s="23" t="s">
        <v>28</v>
      </c>
      <c r="E15" s="23" t="s">
        <v>16</v>
      </c>
      <c r="F15" s="24" t="s">
        <v>29</v>
      </c>
      <c r="G15" s="24" t="s">
        <v>14</v>
      </c>
      <c r="H15" s="23" t="s">
        <v>30</v>
      </c>
      <c r="I15" s="24" t="s">
        <v>31</v>
      </c>
      <c r="J15" s="23" t="s">
        <v>20</v>
      </c>
      <c r="K15" s="53" t="s">
        <v>32</v>
      </c>
      <c r="L15" s="25" t="s">
        <v>33</v>
      </c>
      <c r="M15" s="25" t="s">
        <v>34</v>
      </c>
      <c r="N15" s="25" t="s">
        <v>35</v>
      </c>
      <c r="O15" s="25" t="s">
        <v>36</v>
      </c>
    </row>
    <row r="16" customFormat="1" ht="18" customHeight="1" spans="1:15">
      <c r="A16" s="35">
        <v>43647</v>
      </c>
      <c r="B16" s="36">
        <f t="shared" ref="B16:B29" si="3">ROUND(G16/(1+E16),2)</f>
        <v>15389.05</v>
      </c>
      <c r="C16" s="23"/>
      <c r="D16" s="37" t="s">
        <v>37</v>
      </c>
      <c r="E16" s="38"/>
      <c r="F16" s="36">
        <f t="shared" ref="F16:F31" si="4">ROUND(G16/(1+E16)*E16,2)</f>
        <v>0</v>
      </c>
      <c r="G16" s="30">
        <v>15389.05</v>
      </c>
      <c r="H16" s="23"/>
      <c r="I16" s="24"/>
      <c r="J16" s="23"/>
      <c r="K16" s="53"/>
      <c r="L16" s="25"/>
      <c r="M16" s="25"/>
      <c r="N16" s="25"/>
      <c r="O16" s="25"/>
    </row>
    <row r="17" s="1" customFormat="1" ht="18" customHeight="1" spans="1:15">
      <c r="A17" s="35">
        <v>43678</v>
      </c>
      <c r="B17" s="36">
        <f t="shared" si="3"/>
        <v>619469.03</v>
      </c>
      <c r="C17" s="39"/>
      <c r="D17" s="37" t="s">
        <v>38</v>
      </c>
      <c r="E17" s="38">
        <v>0.13</v>
      </c>
      <c r="F17" s="36">
        <f t="shared" si="4"/>
        <v>80530.97</v>
      </c>
      <c r="G17" s="30">
        <v>700000</v>
      </c>
      <c r="H17" s="26">
        <v>43683</v>
      </c>
      <c r="I17" s="27">
        <v>700000</v>
      </c>
      <c r="J17" s="51" t="s">
        <v>21</v>
      </c>
      <c r="K17" s="54" t="s">
        <v>39</v>
      </c>
      <c r="L17" s="55" t="s">
        <v>40</v>
      </c>
      <c r="M17" s="56" t="s">
        <v>41</v>
      </c>
      <c r="N17" s="56" t="s">
        <v>42</v>
      </c>
      <c r="O17" s="55"/>
    </row>
    <row r="18" s="1" customFormat="1" ht="18" customHeight="1" spans="1:15">
      <c r="A18" s="35">
        <v>43678</v>
      </c>
      <c r="B18" s="36">
        <f t="shared" si="3"/>
        <v>1155339.81</v>
      </c>
      <c r="C18" s="39"/>
      <c r="D18" s="37" t="s">
        <v>38</v>
      </c>
      <c r="E18" s="38">
        <v>0.03</v>
      </c>
      <c r="F18" s="36">
        <f t="shared" si="4"/>
        <v>34660.19</v>
      </c>
      <c r="G18" s="30">
        <v>1190000</v>
      </c>
      <c r="H18" s="26">
        <v>43683</v>
      </c>
      <c r="I18" s="27">
        <v>1190000</v>
      </c>
      <c r="J18" s="51" t="s">
        <v>21</v>
      </c>
      <c r="K18" s="54" t="s">
        <v>43</v>
      </c>
      <c r="L18" s="55" t="s">
        <v>44</v>
      </c>
      <c r="M18" s="56"/>
      <c r="N18" s="56"/>
      <c r="O18" s="55"/>
    </row>
    <row r="19" s="1" customFormat="1" ht="18" customHeight="1" spans="1:15">
      <c r="A19" s="35">
        <v>43709</v>
      </c>
      <c r="B19" s="21">
        <f t="shared" si="3"/>
        <v>487699.12</v>
      </c>
      <c r="C19" s="39"/>
      <c r="D19" s="37" t="s">
        <v>38</v>
      </c>
      <c r="E19" s="38">
        <v>0.13</v>
      </c>
      <c r="F19" s="36">
        <f t="shared" si="4"/>
        <v>63400.88</v>
      </c>
      <c r="G19" s="30">
        <f>95700+99000*2+66000+92400+99000</f>
        <v>551100</v>
      </c>
      <c r="H19" s="26">
        <v>43718</v>
      </c>
      <c r="I19" s="57">
        <v>551100</v>
      </c>
      <c r="J19" s="51" t="s">
        <v>21</v>
      </c>
      <c r="K19" s="54" t="s">
        <v>39</v>
      </c>
      <c r="L19" s="55" t="s">
        <v>45</v>
      </c>
      <c r="M19" s="56" t="s">
        <v>41</v>
      </c>
      <c r="N19" s="56" t="s">
        <v>46</v>
      </c>
      <c r="O19" s="55"/>
    </row>
    <row r="20" s="1" customFormat="1" ht="18" customHeight="1" spans="1:15">
      <c r="A20" s="35">
        <v>43709</v>
      </c>
      <c r="B20" s="21">
        <f t="shared" si="3"/>
        <v>77981.65</v>
      </c>
      <c r="C20" s="39"/>
      <c r="D20" s="37" t="s">
        <v>38</v>
      </c>
      <c r="E20" s="38">
        <v>0.09</v>
      </c>
      <c r="F20" s="36">
        <f t="shared" si="4"/>
        <v>7018.35</v>
      </c>
      <c r="G20" s="30">
        <v>85000</v>
      </c>
      <c r="H20" s="26"/>
      <c r="I20" s="27"/>
      <c r="J20" s="51"/>
      <c r="K20" s="58" t="s">
        <v>47</v>
      </c>
      <c r="L20" s="55" t="s">
        <v>48</v>
      </c>
      <c r="M20" s="56"/>
      <c r="N20" s="56"/>
      <c r="O20" s="55"/>
    </row>
    <row r="21" s="1" customFormat="1" ht="18" customHeight="1" spans="1:15">
      <c r="A21" s="35"/>
      <c r="B21" s="21">
        <f t="shared" si="3"/>
        <v>0</v>
      </c>
      <c r="C21" s="39"/>
      <c r="D21" s="37"/>
      <c r="E21" s="38"/>
      <c r="F21" s="36">
        <f t="shared" si="4"/>
        <v>0</v>
      </c>
      <c r="G21" s="30"/>
      <c r="H21" s="26">
        <v>43851</v>
      </c>
      <c r="I21" s="27">
        <v>85000</v>
      </c>
      <c r="J21" s="51" t="s">
        <v>21</v>
      </c>
      <c r="K21" s="58" t="s">
        <v>49</v>
      </c>
      <c r="L21" s="55" t="s">
        <v>48</v>
      </c>
      <c r="M21" s="56"/>
      <c r="N21" s="56"/>
      <c r="O21" s="55"/>
    </row>
    <row r="22" s="1" customFormat="1" ht="18" customHeight="1" spans="1:15">
      <c r="A22" s="35">
        <v>43891</v>
      </c>
      <c r="B22" s="21">
        <f t="shared" si="3"/>
        <v>387610.62</v>
      </c>
      <c r="C22" s="39"/>
      <c r="D22" s="37" t="s">
        <v>38</v>
      </c>
      <c r="E22" s="38">
        <v>0.13</v>
      </c>
      <c r="F22" s="36">
        <f t="shared" si="4"/>
        <v>50389.38</v>
      </c>
      <c r="G22" s="30">
        <f>83422.36+92199+62519.24+99995.4+99864</f>
        <v>438000</v>
      </c>
      <c r="H22" s="26">
        <v>43852</v>
      </c>
      <c r="I22" s="27">
        <v>438000</v>
      </c>
      <c r="J22" s="51" t="s">
        <v>21</v>
      </c>
      <c r="K22" s="58" t="s">
        <v>50</v>
      </c>
      <c r="L22" s="55" t="s">
        <v>51</v>
      </c>
      <c r="M22" s="56"/>
      <c r="N22" s="56"/>
      <c r="O22" s="55"/>
    </row>
    <row r="23" s="1" customFormat="1" ht="18" customHeight="1" spans="1:15">
      <c r="A23" s="41">
        <v>43831</v>
      </c>
      <c r="B23" s="36">
        <f t="shared" si="3"/>
        <v>290265.49</v>
      </c>
      <c r="C23" s="42"/>
      <c r="D23" s="43" t="s">
        <v>38</v>
      </c>
      <c r="E23" s="38">
        <v>0.13</v>
      </c>
      <c r="F23" s="36">
        <f t="shared" si="4"/>
        <v>37734.51</v>
      </c>
      <c r="G23" s="30">
        <f>73800+82000+90200+82000</f>
        <v>328000</v>
      </c>
      <c r="H23" s="26">
        <v>43852</v>
      </c>
      <c r="I23" s="27">
        <v>328000</v>
      </c>
      <c r="J23" s="51" t="s">
        <v>21</v>
      </c>
      <c r="K23" s="58" t="s">
        <v>39</v>
      </c>
      <c r="L23" s="55" t="s">
        <v>52</v>
      </c>
      <c r="M23" s="56"/>
      <c r="N23" s="56"/>
      <c r="O23" s="55"/>
    </row>
    <row r="24" s="1" customFormat="1" ht="18" customHeight="1" spans="1:15">
      <c r="A24" s="35"/>
      <c r="B24" s="21">
        <f t="shared" si="3"/>
        <v>0</v>
      </c>
      <c r="C24" s="39"/>
      <c r="D24" s="37"/>
      <c r="E24" s="38"/>
      <c r="F24" s="36">
        <f t="shared" si="4"/>
        <v>0</v>
      </c>
      <c r="G24" s="30"/>
      <c r="H24" s="26">
        <v>43852</v>
      </c>
      <c r="I24" s="27">
        <v>916294</v>
      </c>
      <c r="J24" s="51" t="s">
        <v>22</v>
      </c>
      <c r="K24" s="58" t="s">
        <v>53</v>
      </c>
      <c r="L24" s="55" t="s">
        <v>54</v>
      </c>
      <c r="M24" s="56">
        <v>5138695.06</v>
      </c>
      <c r="N24" s="56"/>
      <c r="O24" s="55"/>
    </row>
    <row r="25" s="1" customFormat="1" ht="18" customHeight="1" spans="1:15">
      <c r="A25" s="35">
        <v>43891</v>
      </c>
      <c r="B25" s="21">
        <f t="shared" si="3"/>
        <v>2721460</v>
      </c>
      <c r="C25" s="39"/>
      <c r="D25" s="37" t="s">
        <v>37</v>
      </c>
      <c r="E25" s="38"/>
      <c r="F25" s="36">
        <f t="shared" si="4"/>
        <v>0</v>
      </c>
      <c r="G25" s="30">
        <f>100000*27+21460</f>
        <v>2721460</v>
      </c>
      <c r="H25" s="26">
        <v>43852</v>
      </c>
      <c r="I25" s="27">
        <v>980000</v>
      </c>
      <c r="J25" s="51" t="s">
        <v>21</v>
      </c>
      <c r="K25" s="58" t="s">
        <v>53</v>
      </c>
      <c r="L25" s="55" t="s">
        <v>54</v>
      </c>
      <c r="M25" s="56" t="s">
        <v>41</v>
      </c>
      <c r="N25" s="56"/>
      <c r="O25" s="55"/>
    </row>
    <row r="26" s="1" customFormat="1" ht="18" customHeight="1" spans="1:15">
      <c r="A26" s="35">
        <v>43891</v>
      </c>
      <c r="B26" s="21">
        <f t="shared" si="3"/>
        <v>240341.75</v>
      </c>
      <c r="C26" s="39"/>
      <c r="D26" s="37" t="s">
        <v>38</v>
      </c>
      <c r="E26" s="38">
        <v>0.03</v>
      </c>
      <c r="F26" s="36">
        <f t="shared" si="4"/>
        <v>7210.25</v>
      </c>
      <c r="G26" s="30">
        <f>7552+10000*24</f>
        <v>247552</v>
      </c>
      <c r="H26" s="26">
        <v>43852</v>
      </c>
      <c r="I26" s="27">
        <v>527552</v>
      </c>
      <c r="J26" s="51" t="s">
        <v>21</v>
      </c>
      <c r="K26" s="54" t="s">
        <v>43</v>
      </c>
      <c r="L26" s="55" t="s">
        <v>44</v>
      </c>
      <c r="M26" s="56"/>
      <c r="N26" s="56"/>
      <c r="O26" s="55"/>
    </row>
    <row r="27" s="1" customFormat="1" ht="18" customHeight="1" spans="1:15">
      <c r="A27" s="35"/>
      <c r="B27" s="21">
        <f t="shared" si="3"/>
        <v>0</v>
      </c>
      <c r="C27" s="39"/>
      <c r="D27" s="37"/>
      <c r="E27" s="38"/>
      <c r="F27" s="36">
        <f t="shared" si="4"/>
        <v>0</v>
      </c>
      <c r="G27" s="30"/>
      <c r="H27" s="26">
        <v>43900</v>
      </c>
      <c r="I27" s="27">
        <v>823772</v>
      </c>
      <c r="J27" s="51" t="s">
        <v>21</v>
      </c>
      <c r="K27" s="58" t="s">
        <v>53</v>
      </c>
      <c r="L27" s="55" t="s">
        <v>54</v>
      </c>
      <c r="M27" s="56" t="s">
        <v>41</v>
      </c>
      <c r="N27" s="56"/>
      <c r="O27" s="55"/>
    </row>
    <row r="28" s="1" customFormat="1" ht="18" customHeight="1" spans="1:15">
      <c r="A28" s="35"/>
      <c r="B28" s="21">
        <f t="shared" si="3"/>
        <v>0</v>
      </c>
      <c r="C28" s="39"/>
      <c r="D28" s="37"/>
      <c r="E28" s="38"/>
      <c r="F28" s="36">
        <f t="shared" si="4"/>
        <v>0</v>
      </c>
      <c r="G28" s="30"/>
      <c r="H28" s="26">
        <v>43972</v>
      </c>
      <c r="I28" s="27">
        <v>901394</v>
      </c>
      <c r="J28" s="51" t="s">
        <v>21</v>
      </c>
      <c r="K28" s="58" t="s">
        <v>53</v>
      </c>
      <c r="L28" s="55" t="s">
        <v>54</v>
      </c>
      <c r="M28" s="56" t="s">
        <v>41</v>
      </c>
      <c r="N28" s="56"/>
      <c r="O28" s="55"/>
    </row>
    <row r="29" s="1" customFormat="1" ht="18" customHeight="1" spans="1:15">
      <c r="A29" s="35"/>
      <c r="B29" s="21">
        <f t="shared" si="3"/>
        <v>0</v>
      </c>
      <c r="C29" s="39"/>
      <c r="D29" s="37"/>
      <c r="E29" s="38"/>
      <c r="F29" s="36">
        <f t="shared" si="4"/>
        <v>0</v>
      </c>
      <c r="G29" s="30"/>
      <c r="H29" s="26"/>
      <c r="I29" s="27"/>
      <c r="J29" s="51" t="s">
        <v>21</v>
      </c>
      <c r="K29" s="58" t="s">
        <v>39</v>
      </c>
      <c r="L29" s="55" t="s">
        <v>55</v>
      </c>
      <c r="M29" s="56"/>
      <c r="N29" s="56"/>
      <c r="O29" s="55"/>
    </row>
    <row r="30" s="1" customFormat="1" ht="18" customHeight="1" spans="1:15">
      <c r="A30" s="35">
        <v>43972</v>
      </c>
      <c r="B30" s="21">
        <f t="shared" ref="B30:B39" si="5">ROUND(G30/(1+E30),2)</f>
        <v>900000</v>
      </c>
      <c r="C30" s="39"/>
      <c r="D30" s="37" t="s">
        <v>37</v>
      </c>
      <c r="E30" s="38"/>
      <c r="F30" s="36">
        <f t="shared" si="4"/>
        <v>0</v>
      </c>
      <c r="G30" s="139">
        <v>900000</v>
      </c>
      <c r="H30" s="26"/>
      <c r="I30" s="27"/>
      <c r="J30" s="51"/>
      <c r="K30" s="58" t="s">
        <v>53</v>
      </c>
      <c r="L30" s="55" t="s">
        <v>54</v>
      </c>
      <c r="M30" s="56"/>
      <c r="N30" s="56"/>
      <c r="O30" s="55"/>
    </row>
    <row r="31" s="1" customFormat="1" ht="18" customHeight="1" spans="1:15">
      <c r="A31" s="35">
        <v>43983</v>
      </c>
      <c r="B31" s="21">
        <f t="shared" si="5"/>
        <v>198320</v>
      </c>
      <c r="C31" s="39"/>
      <c r="D31" s="37" t="s">
        <v>56</v>
      </c>
      <c r="E31" s="38"/>
      <c r="F31" s="36">
        <f t="shared" si="4"/>
        <v>0</v>
      </c>
      <c r="G31" s="30">
        <v>198320</v>
      </c>
      <c r="H31" s="26">
        <v>43984</v>
      </c>
      <c r="I31" s="27">
        <v>198320</v>
      </c>
      <c r="J31" s="51" t="s">
        <v>57</v>
      </c>
      <c r="K31" s="58" t="s">
        <v>58</v>
      </c>
      <c r="L31" s="55"/>
      <c r="M31" s="56"/>
      <c r="N31" s="56"/>
      <c r="O31" s="55"/>
    </row>
    <row r="32" s="1" customFormat="1" ht="18" customHeight="1" spans="1:15">
      <c r="A32" s="35"/>
      <c r="B32" s="21">
        <f t="shared" si="5"/>
        <v>0</v>
      </c>
      <c r="C32" s="39"/>
      <c r="D32" s="37"/>
      <c r="E32" s="38"/>
      <c r="F32" s="36"/>
      <c r="G32" s="30"/>
      <c r="H32" s="26"/>
      <c r="I32" s="27"/>
      <c r="J32" s="51"/>
      <c r="K32" s="58"/>
      <c r="L32" s="55"/>
      <c r="M32" s="56"/>
      <c r="N32" s="56"/>
      <c r="O32" s="55"/>
    </row>
    <row r="33" s="1" customFormat="1" ht="18" customHeight="1" spans="1:15">
      <c r="A33" s="35"/>
      <c r="B33" s="21">
        <f t="shared" si="5"/>
        <v>0</v>
      </c>
      <c r="C33" s="39"/>
      <c r="D33" s="37"/>
      <c r="E33" s="38"/>
      <c r="F33" s="36"/>
      <c r="G33" s="30"/>
      <c r="H33" s="26"/>
      <c r="I33" s="27"/>
      <c r="J33" s="51"/>
      <c r="K33" s="58"/>
      <c r="L33" s="55"/>
      <c r="M33" s="56"/>
      <c r="N33" s="56"/>
      <c r="O33" s="55"/>
    </row>
    <row r="34" s="1" customFormat="1" ht="18" customHeight="1" spans="1:15">
      <c r="A34" s="35"/>
      <c r="B34" s="21">
        <f t="shared" si="5"/>
        <v>0</v>
      </c>
      <c r="C34" s="39"/>
      <c r="D34" s="37"/>
      <c r="E34" s="38"/>
      <c r="F34" s="36"/>
      <c r="G34" s="30"/>
      <c r="H34" s="26"/>
      <c r="I34" s="27"/>
      <c r="J34" s="51"/>
      <c r="K34" s="58"/>
      <c r="L34" s="55"/>
      <c r="M34" s="56"/>
      <c r="N34" s="56"/>
      <c r="O34" s="55"/>
    </row>
    <row r="35" s="1" customFormat="1" ht="18" customHeight="1" spans="1:15">
      <c r="A35" s="35"/>
      <c r="B35" s="21">
        <f t="shared" si="5"/>
        <v>0</v>
      </c>
      <c r="C35" s="39"/>
      <c r="D35" s="37"/>
      <c r="E35" s="38"/>
      <c r="F35" s="36"/>
      <c r="G35" s="30"/>
      <c r="H35" s="26">
        <v>43984</v>
      </c>
      <c r="I35" s="27">
        <v>200</v>
      </c>
      <c r="J35" s="51" t="s">
        <v>59</v>
      </c>
      <c r="K35" s="58" t="s">
        <v>60</v>
      </c>
      <c r="L35" s="55"/>
      <c r="M35" s="56"/>
      <c r="N35" s="56"/>
      <c r="O35" s="55"/>
    </row>
    <row r="36" s="1" customFormat="1" ht="18" customHeight="1" spans="1:15">
      <c r="A36" s="35"/>
      <c r="B36" s="21">
        <f t="shared" si="5"/>
        <v>0</v>
      </c>
      <c r="C36" s="39"/>
      <c r="D36" s="37"/>
      <c r="E36" s="38"/>
      <c r="F36" s="36">
        <f>ROUND(G36/(1+E36)*E36,2)</f>
        <v>0</v>
      </c>
      <c r="G36" s="30"/>
      <c r="H36" s="26">
        <v>43984</v>
      </c>
      <c r="I36" s="27">
        <f>-(I47+I44+I40)</f>
        <v>-178666.95</v>
      </c>
      <c r="J36" s="51" t="s">
        <v>61</v>
      </c>
      <c r="K36" s="54" t="s">
        <v>62</v>
      </c>
      <c r="L36" s="55"/>
      <c r="M36" s="56"/>
      <c r="N36" s="56"/>
      <c r="O36" s="55"/>
    </row>
    <row r="37" s="1" customFormat="1" ht="18" customHeight="1" spans="1:15">
      <c r="A37" s="35"/>
      <c r="B37" s="21">
        <f t="shared" si="5"/>
        <v>0</v>
      </c>
      <c r="C37" s="39"/>
      <c r="D37" s="37"/>
      <c r="E37" s="38"/>
      <c r="F37" s="36">
        <f>ROUND(G37/(1+E37)*E37,2)</f>
        <v>0</v>
      </c>
      <c r="G37" s="30"/>
      <c r="H37" s="26">
        <v>43984</v>
      </c>
      <c r="I37" s="27">
        <v>22048</v>
      </c>
      <c r="J37" s="51" t="s">
        <v>59</v>
      </c>
      <c r="K37" s="54" t="s">
        <v>63</v>
      </c>
      <c r="L37" s="55"/>
      <c r="M37" s="56"/>
      <c r="N37" s="56"/>
      <c r="O37" s="55"/>
    </row>
    <row r="38" s="1" customFormat="1" ht="18" customHeight="1" spans="1:15">
      <c r="A38" s="35"/>
      <c r="B38" s="21">
        <f t="shared" si="5"/>
        <v>0</v>
      </c>
      <c r="C38" s="39"/>
      <c r="D38" s="37"/>
      <c r="E38" s="38"/>
      <c r="F38" s="36">
        <f>ROUND(G38/(1+E38)*E38,2)</f>
        <v>0</v>
      </c>
      <c r="G38" s="30"/>
      <c r="H38" s="26">
        <v>43972</v>
      </c>
      <c r="I38" s="27">
        <v>100</v>
      </c>
      <c r="J38" s="51" t="s">
        <v>59</v>
      </c>
      <c r="K38" s="54" t="s">
        <v>60</v>
      </c>
      <c r="L38" s="55"/>
      <c r="M38" s="56"/>
      <c r="N38" s="56"/>
      <c r="O38" s="55"/>
    </row>
    <row r="39" s="1" customFormat="1" ht="18" customHeight="1" spans="1:15">
      <c r="A39" s="35"/>
      <c r="B39" s="21">
        <f t="shared" si="5"/>
        <v>0</v>
      </c>
      <c r="C39" s="39"/>
      <c r="D39" s="37"/>
      <c r="E39" s="38"/>
      <c r="F39" s="36">
        <f>ROUND(G39/(1+E39)*E39,2)</f>
        <v>0</v>
      </c>
      <c r="G39" s="30"/>
      <c r="H39" s="26">
        <v>43972</v>
      </c>
      <c r="I39" s="27">
        <v>9000</v>
      </c>
      <c r="J39" s="51" t="s">
        <v>59</v>
      </c>
      <c r="K39" s="54" t="s">
        <v>64</v>
      </c>
      <c r="L39" s="55"/>
      <c r="M39" s="56"/>
      <c r="N39" s="56"/>
      <c r="O39" s="55"/>
    </row>
    <row r="40" s="1" customFormat="1" ht="18" customHeight="1" spans="1:15">
      <c r="A40" s="35"/>
      <c r="B40" s="21">
        <f t="shared" ref="B40:B45" si="6">ROUND(G40/(1+E40),2)</f>
        <v>0</v>
      </c>
      <c r="C40" s="39"/>
      <c r="D40" s="37"/>
      <c r="E40" s="38"/>
      <c r="F40" s="36">
        <f>ROUND(G40/(1+E40)*E40,2)</f>
        <v>0</v>
      </c>
      <c r="G40" s="30"/>
      <c r="H40" s="26">
        <v>43972</v>
      </c>
      <c r="I40" s="27">
        <v>156769.95</v>
      </c>
      <c r="J40" s="51" t="s">
        <v>65</v>
      </c>
      <c r="K40" s="54" t="s">
        <v>66</v>
      </c>
      <c r="L40" s="55"/>
      <c r="M40" s="56"/>
      <c r="N40" s="56"/>
      <c r="O40" s="55"/>
    </row>
    <row r="41" s="1" customFormat="1" ht="18" customHeight="1" spans="1:15">
      <c r="A41" s="35"/>
      <c r="B41" s="21">
        <f t="shared" si="6"/>
        <v>0</v>
      </c>
      <c r="C41" s="39"/>
      <c r="D41" s="37"/>
      <c r="E41" s="38"/>
      <c r="F41" s="36">
        <f t="shared" ref="F41:F46" si="7">ROUND(G41/(1+E41)*E41,2)</f>
        <v>0</v>
      </c>
      <c r="G41" s="30"/>
      <c r="H41" s="26">
        <v>43972</v>
      </c>
      <c r="I41" s="27">
        <f>K72</f>
        <v>665.513647706422</v>
      </c>
      <c r="J41" s="51" t="s">
        <v>59</v>
      </c>
      <c r="K41" s="54" t="s">
        <v>67</v>
      </c>
      <c r="L41" s="55"/>
      <c r="M41" s="56"/>
      <c r="N41" s="56"/>
      <c r="O41" s="55"/>
    </row>
    <row r="42" s="1" customFormat="1" ht="18" customHeight="1" spans="1:15">
      <c r="A42" s="35"/>
      <c r="B42" s="21">
        <f t="shared" si="6"/>
        <v>0</v>
      </c>
      <c r="C42" s="39"/>
      <c r="D42" s="37"/>
      <c r="E42" s="38"/>
      <c r="F42" s="36">
        <f t="shared" si="7"/>
        <v>0</v>
      </c>
      <c r="G42" s="30"/>
      <c r="H42" s="26">
        <v>43972</v>
      </c>
      <c r="I42" s="27">
        <f>B10*0.02</f>
        <v>22183.7882568807</v>
      </c>
      <c r="J42" s="51" t="s">
        <v>59</v>
      </c>
      <c r="K42" s="54" t="s">
        <v>68</v>
      </c>
      <c r="L42" s="55"/>
      <c r="M42" s="56"/>
      <c r="N42" s="56"/>
      <c r="O42" s="55"/>
    </row>
    <row r="43" s="1" customFormat="1" ht="18" customHeight="1" spans="1:15">
      <c r="A43" s="35"/>
      <c r="B43" s="21">
        <f t="shared" si="6"/>
        <v>0</v>
      </c>
      <c r="C43" s="39"/>
      <c r="D43" s="37"/>
      <c r="E43" s="38"/>
      <c r="F43" s="36">
        <f t="shared" si="7"/>
        <v>0</v>
      </c>
      <c r="G43" s="30"/>
      <c r="H43" s="26">
        <v>43900</v>
      </c>
      <c r="I43" s="27">
        <v>100</v>
      </c>
      <c r="J43" s="51" t="s">
        <v>59</v>
      </c>
      <c r="K43" s="54" t="s">
        <v>60</v>
      </c>
      <c r="L43" s="55"/>
      <c r="M43" s="56"/>
      <c r="N43" s="56"/>
      <c r="O43" s="55"/>
    </row>
    <row r="44" s="1" customFormat="1" ht="18" customHeight="1" spans="1:15">
      <c r="A44" s="35"/>
      <c r="B44" s="21">
        <f t="shared" si="6"/>
        <v>0</v>
      </c>
      <c r="C44" s="39"/>
      <c r="D44" s="37"/>
      <c r="E44" s="38"/>
      <c r="F44" s="36">
        <f t="shared" si="7"/>
        <v>0</v>
      </c>
      <c r="G44" s="30"/>
      <c r="H44" s="26">
        <v>43900</v>
      </c>
      <c r="I44" s="27">
        <v>-909920</v>
      </c>
      <c r="J44" s="51" t="s">
        <v>61</v>
      </c>
      <c r="K44" s="58" t="s">
        <v>69</v>
      </c>
      <c r="L44" s="55"/>
      <c r="M44" s="56"/>
      <c r="N44" s="56"/>
      <c r="O44" s="55"/>
    </row>
    <row r="45" s="1" customFormat="1" ht="18" customHeight="1" spans="1:15">
      <c r="A45" s="35"/>
      <c r="B45" s="21">
        <f t="shared" si="6"/>
        <v>0</v>
      </c>
      <c r="C45" s="39"/>
      <c r="D45" s="37"/>
      <c r="E45" s="38"/>
      <c r="F45" s="36">
        <f t="shared" si="7"/>
        <v>0</v>
      </c>
      <c r="G45" s="30"/>
      <c r="H45" s="26" t="s">
        <v>70</v>
      </c>
      <c r="I45" s="27">
        <v>200</v>
      </c>
      <c r="J45" s="51" t="s">
        <v>59</v>
      </c>
      <c r="K45" s="54" t="s">
        <v>60</v>
      </c>
      <c r="L45" s="55"/>
      <c r="M45" s="56"/>
      <c r="N45" s="56"/>
      <c r="O45" s="55"/>
    </row>
    <row r="46" s="1" customFormat="1" ht="18" customHeight="1" spans="1:15">
      <c r="A46" s="35"/>
      <c r="B46" s="21">
        <f t="shared" ref="B46:B48" si="8">ROUND(G46/(1+E46),2)</f>
        <v>0</v>
      </c>
      <c r="C46" s="39"/>
      <c r="D46" s="37"/>
      <c r="E46" s="74"/>
      <c r="F46" s="36">
        <f t="shared" si="7"/>
        <v>0</v>
      </c>
      <c r="G46" s="30"/>
      <c r="H46" s="26" t="s">
        <v>71</v>
      </c>
      <c r="I46" s="27">
        <v>150</v>
      </c>
      <c r="J46" s="51" t="s">
        <v>59</v>
      </c>
      <c r="K46" s="54" t="s">
        <v>60</v>
      </c>
      <c r="L46" s="55"/>
      <c r="M46" s="56"/>
      <c r="N46" s="56"/>
      <c r="O46" s="55"/>
    </row>
    <row r="47" s="1" customFormat="1" ht="18" customHeight="1" spans="1:15">
      <c r="A47" s="35"/>
      <c r="B47" s="21">
        <f t="shared" si="8"/>
        <v>0</v>
      </c>
      <c r="C47" s="39"/>
      <c r="D47" s="37"/>
      <c r="E47" s="74"/>
      <c r="F47" s="36">
        <f t="shared" ref="F47:F57" si="9">ROUND(G47/(1+E47)*E47,2)</f>
        <v>0</v>
      </c>
      <c r="G47" s="30"/>
      <c r="H47" s="26" t="s">
        <v>71</v>
      </c>
      <c r="I47" s="27">
        <v>931817</v>
      </c>
      <c r="J47" s="51" t="s">
        <v>65</v>
      </c>
      <c r="K47" s="54" t="s">
        <v>72</v>
      </c>
      <c r="L47" s="55"/>
      <c r="M47" s="56">
        <f>I47+I44+I40+I36</f>
        <v>0</v>
      </c>
      <c r="N47" s="56"/>
      <c r="O47" s="55"/>
    </row>
    <row r="48" s="1" customFormat="1" ht="18" customHeight="1" spans="1:15">
      <c r="A48" s="35"/>
      <c r="B48" s="21">
        <f t="shared" si="8"/>
        <v>0</v>
      </c>
      <c r="C48" s="39"/>
      <c r="D48" s="37"/>
      <c r="E48" s="74"/>
      <c r="F48" s="36">
        <f t="shared" si="9"/>
        <v>0</v>
      </c>
      <c r="G48" s="30"/>
      <c r="H48" s="26" t="s">
        <v>71</v>
      </c>
      <c r="I48" s="27">
        <v>91630</v>
      </c>
      <c r="J48" s="51" t="s">
        <v>59</v>
      </c>
      <c r="K48" s="54" t="s">
        <v>73</v>
      </c>
      <c r="L48" s="55"/>
      <c r="M48" s="56"/>
      <c r="N48" s="56"/>
      <c r="O48" s="55"/>
    </row>
    <row r="49" s="1" customFormat="1" ht="18" customHeight="1" spans="1:15">
      <c r="A49" s="35"/>
      <c r="B49" s="21">
        <f t="shared" ref="B49:B57" si="10">ROUND(G49/(1+E49),2)</f>
        <v>0</v>
      </c>
      <c r="C49" s="39"/>
      <c r="D49" s="37"/>
      <c r="E49" s="74"/>
      <c r="F49" s="36">
        <f t="shared" si="9"/>
        <v>0</v>
      </c>
      <c r="G49" s="30"/>
      <c r="H49" s="26" t="s">
        <v>71</v>
      </c>
      <c r="I49" s="27">
        <v>2522</v>
      </c>
      <c r="J49" s="51" t="s">
        <v>59</v>
      </c>
      <c r="K49" s="54" t="s">
        <v>67</v>
      </c>
      <c r="L49" s="55"/>
      <c r="M49" s="56"/>
      <c r="N49" s="56"/>
      <c r="O49" s="55"/>
    </row>
    <row r="50" s="1" customFormat="1" ht="18" customHeight="1" spans="1:15">
      <c r="A50" s="35"/>
      <c r="B50" s="21">
        <f t="shared" si="10"/>
        <v>0</v>
      </c>
      <c r="C50" s="39"/>
      <c r="D50" s="37"/>
      <c r="E50" s="74"/>
      <c r="F50" s="36">
        <f t="shared" si="9"/>
        <v>0</v>
      </c>
      <c r="G50" s="30"/>
      <c r="H50" s="26" t="s">
        <v>71</v>
      </c>
      <c r="I50" s="27">
        <v>200</v>
      </c>
      <c r="J50" s="51" t="s">
        <v>59</v>
      </c>
      <c r="K50" s="54" t="s">
        <v>60</v>
      </c>
      <c r="L50" s="55"/>
      <c r="M50" s="56"/>
      <c r="N50" s="56"/>
      <c r="O50" s="55"/>
    </row>
    <row r="51" s="1" customFormat="1" ht="18" customHeight="1" spans="1:15">
      <c r="A51" s="35"/>
      <c r="B51" s="21">
        <f t="shared" si="10"/>
        <v>0</v>
      </c>
      <c r="C51" s="39"/>
      <c r="D51" s="37"/>
      <c r="E51" s="74"/>
      <c r="F51" s="36">
        <f t="shared" si="9"/>
        <v>0</v>
      </c>
      <c r="G51" s="30"/>
      <c r="H51" s="26" t="s">
        <v>71</v>
      </c>
      <c r="I51" s="27">
        <v>9000</v>
      </c>
      <c r="J51" s="51" t="s">
        <v>59</v>
      </c>
      <c r="K51" s="54" t="s">
        <v>74</v>
      </c>
      <c r="L51" s="55"/>
      <c r="M51" s="56"/>
      <c r="N51" s="56"/>
      <c r="O51" s="55"/>
    </row>
    <row r="52" s="1" customFormat="1" ht="18" customHeight="1" spans="1:15">
      <c r="A52" s="35"/>
      <c r="B52" s="21">
        <f t="shared" si="10"/>
        <v>290682</v>
      </c>
      <c r="C52" s="39"/>
      <c r="D52" s="37"/>
      <c r="E52" s="74"/>
      <c r="F52" s="36">
        <f t="shared" si="9"/>
        <v>0</v>
      </c>
      <c r="G52" s="30">
        <v>290682</v>
      </c>
      <c r="H52" s="26" t="s">
        <v>71</v>
      </c>
      <c r="I52" s="27">
        <f>G52</f>
        <v>290682</v>
      </c>
      <c r="J52" s="51" t="s">
        <v>59</v>
      </c>
      <c r="K52" s="54" t="s">
        <v>75</v>
      </c>
      <c r="L52" s="55"/>
      <c r="M52" s="56"/>
      <c r="N52" s="56"/>
      <c r="O52" s="55"/>
    </row>
    <row r="53" s="1" customFormat="1" ht="18" customHeight="1" spans="1:15">
      <c r="A53" s="35"/>
      <c r="B53" s="21">
        <f t="shared" si="10"/>
        <v>0</v>
      </c>
      <c r="C53" s="39"/>
      <c r="D53" s="37"/>
      <c r="E53" s="74"/>
      <c r="F53" s="36">
        <f t="shared" si="9"/>
        <v>0</v>
      </c>
      <c r="G53" s="30"/>
      <c r="H53" s="26" t="s">
        <v>76</v>
      </c>
      <c r="I53" s="27">
        <v>3000</v>
      </c>
      <c r="J53" s="51" t="s">
        <v>59</v>
      </c>
      <c r="K53" s="54" t="s">
        <v>74</v>
      </c>
      <c r="L53" s="55"/>
      <c r="M53" s="56"/>
      <c r="N53" s="56"/>
      <c r="O53" s="55"/>
    </row>
    <row r="54" s="1" customFormat="1" ht="18" customHeight="1" spans="1:15">
      <c r="A54" s="35"/>
      <c r="B54" s="21">
        <f t="shared" si="10"/>
        <v>0</v>
      </c>
      <c r="C54" s="39"/>
      <c r="D54" s="37"/>
      <c r="E54" s="74"/>
      <c r="F54" s="36">
        <f t="shared" si="9"/>
        <v>0</v>
      </c>
      <c r="G54" s="30"/>
      <c r="H54" s="26" t="s">
        <v>76</v>
      </c>
      <c r="I54" s="27">
        <v>-563677</v>
      </c>
      <c r="J54" s="51" t="s">
        <v>61</v>
      </c>
      <c r="K54" s="54" t="s">
        <v>77</v>
      </c>
      <c r="L54" s="55"/>
      <c r="M54" s="56"/>
      <c r="N54" s="56"/>
      <c r="O54" s="55"/>
    </row>
    <row r="55" s="1" customFormat="1" ht="18" customHeight="1" spans="1:15">
      <c r="A55" s="35"/>
      <c r="B55" s="21">
        <f t="shared" si="10"/>
        <v>0</v>
      </c>
      <c r="C55" s="39"/>
      <c r="D55" s="37"/>
      <c r="E55" s="74"/>
      <c r="F55" s="36">
        <f t="shared" si="9"/>
        <v>0</v>
      </c>
      <c r="G55" s="30"/>
      <c r="H55" s="26" t="s">
        <v>76</v>
      </c>
      <c r="I55" s="27">
        <v>-181186</v>
      </c>
      <c r="J55" s="51" t="s">
        <v>78</v>
      </c>
      <c r="K55" s="54" t="s">
        <v>79</v>
      </c>
      <c r="L55" s="55"/>
      <c r="M55" s="56"/>
      <c r="N55" s="56"/>
      <c r="O55" s="55"/>
    </row>
    <row r="56" s="1" customFormat="1" ht="18" customHeight="1" spans="1:15">
      <c r="A56" s="35"/>
      <c r="B56" s="21">
        <f t="shared" si="10"/>
        <v>0</v>
      </c>
      <c r="C56" s="39"/>
      <c r="D56" s="37"/>
      <c r="E56" s="74"/>
      <c r="F56" s="21">
        <f t="shared" si="9"/>
        <v>0</v>
      </c>
      <c r="G56" s="30"/>
      <c r="H56" s="26" t="s">
        <v>76</v>
      </c>
      <c r="I56" s="27">
        <v>181186</v>
      </c>
      <c r="J56" s="51" t="s">
        <v>59</v>
      </c>
      <c r="K56" s="54" t="s">
        <v>63</v>
      </c>
      <c r="L56" s="55"/>
      <c r="M56" s="56"/>
      <c r="N56" s="56"/>
      <c r="O56" s="55"/>
    </row>
    <row r="57" s="1" customFormat="1" ht="18" customHeight="1" spans="1:15">
      <c r="A57" s="35"/>
      <c r="B57" s="21">
        <f t="shared" si="10"/>
        <v>0</v>
      </c>
      <c r="C57" s="39"/>
      <c r="D57" s="37"/>
      <c r="E57" s="74"/>
      <c r="F57" s="21">
        <f t="shared" si="9"/>
        <v>0</v>
      </c>
      <c r="G57" s="30"/>
      <c r="H57" s="26" t="s">
        <v>76</v>
      </c>
      <c r="I57" s="27">
        <v>563677</v>
      </c>
      <c r="J57" s="51" t="s">
        <v>65</v>
      </c>
      <c r="K57" s="54" t="s">
        <v>66</v>
      </c>
      <c r="L57" s="55"/>
      <c r="M57" s="56"/>
      <c r="N57" s="56"/>
      <c r="O57" s="55"/>
    </row>
    <row r="58" s="1" customFormat="1" ht="18" customHeight="1" spans="1:15">
      <c r="A58" s="35"/>
      <c r="B58" s="21">
        <f t="shared" ref="B58:B61" si="11">ROUND(G58/(1+E58),2)</f>
        <v>0</v>
      </c>
      <c r="C58" s="39"/>
      <c r="D58" s="37"/>
      <c r="E58" s="74"/>
      <c r="F58" s="21">
        <f t="shared" ref="F58:F61" si="12">ROUND(G58/(1+E58)*E58,2)</f>
        <v>0</v>
      </c>
      <c r="G58" s="30"/>
      <c r="H58" s="26" t="s">
        <v>76</v>
      </c>
      <c r="I58" s="27">
        <v>47062</v>
      </c>
      <c r="J58" s="51" t="s">
        <v>59</v>
      </c>
      <c r="K58" s="54" t="s">
        <v>80</v>
      </c>
      <c r="L58" s="55"/>
      <c r="M58" s="56"/>
      <c r="N58" s="56"/>
      <c r="O58" s="55"/>
    </row>
    <row r="59" s="1" customFormat="1" ht="18" customHeight="1" spans="1:15">
      <c r="A59" s="35"/>
      <c r="B59" s="21">
        <f t="shared" si="11"/>
        <v>0</v>
      </c>
      <c r="C59" s="39"/>
      <c r="D59" s="37"/>
      <c r="E59" s="74"/>
      <c r="F59" s="21">
        <f t="shared" si="12"/>
        <v>0</v>
      </c>
      <c r="G59" s="30"/>
      <c r="H59" s="26" t="s">
        <v>76</v>
      </c>
      <c r="I59" s="27">
        <v>1412</v>
      </c>
      <c r="J59" s="51" t="s">
        <v>59</v>
      </c>
      <c r="K59" s="54" t="s">
        <v>67</v>
      </c>
      <c r="L59" s="55"/>
      <c r="M59" s="56"/>
      <c r="N59" s="56"/>
      <c r="O59" s="55"/>
    </row>
    <row r="60" s="1" customFormat="1" ht="18" customHeight="1" spans="1:15">
      <c r="A60" s="35"/>
      <c r="B60" s="21">
        <f t="shared" si="11"/>
        <v>51296.82</v>
      </c>
      <c r="C60" s="39"/>
      <c r="D60" s="37"/>
      <c r="E60" s="74"/>
      <c r="F60" s="21">
        <f t="shared" si="12"/>
        <v>0</v>
      </c>
      <c r="G60" s="30">
        <f>I7*0.02</f>
        <v>51296.823</v>
      </c>
      <c r="H60" s="26" t="s">
        <v>76</v>
      </c>
      <c r="I60" s="27">
        <f>G60</f>
        <v>51296.823</v>
      </c>
      <c r="J60" s="51" t="s">
        <v>59</v>
      </c>
      <c r="K60" s="54" t="s">
        <v>81</v>
      </c>
      <c r="L60" s="55"/>
      <c r="M60" s="56"/>
      <c r="N60" s="56"/>
      <c r="O60" s="55"/>
    </row>
    <row r="61" s="111" customFormat="1" ht="45" customHeight="1" spans="1:15">
      <c r="A61" s="115"/>
      <c r="B61" s="116">
        <f t="shared" si="11"/>
        <v>0</v>
      </c>
      <c r="C61" s="117"/>
      <c r="D61" s="118"/>
      <c r="E61" s="119"/>
      <c r="F61" s="116">
        <f t="shared" si="12"/>
        <v>0</v>
      </c>
      <c r="G61" s="116"/>
      <c r="H61" s="120"/>
      <c r="I61" s="131"/>
      <c r="J61" s="132"/>
      <c r="K61" s="133" t="s">
        <v>82</v>
      </c>
      <c r="L61" s="134"/>
      <c r="M61" s="135"/>
      <c r="N61" s="135"/>
      <c r="O61" s="134"/>
    </row>
    <row r="62" ht="18" customHeight="1" spans="1:15">
      <c r="A62" s="113" t="s">
        <v>23</v>
      </c>
      <c r="B62" s="121">
        <f>SUM(B16:B61)</f>
        <v>7435855.34</v>
      </c>
      <c r="C62" s="113"/>
      <c r="D62" s="122"/>
      <c r="E62" s="122"/>
      <c r="F62" s="123">
        <f>SUM(F17:F61)</f>
        <v>280944.53</v>
      </c>
      <c r="G62" s="124">
        <f>SUM(G17:G61)</f>
        <v>7701410.823</v>
      </c>
      <c r="H62" s="125"/>
      <c r="I62" s="106">
        <f>SUM(I17:I61)</f>
        <v>8190884.12490459</v>
      </c>
      <c r="J62" s="136"/>
      <c r="K62" s="122"/>
      <c r="L62" s="52"/>
      <c r="M62" s="51"/>
      <c r="N62" s="51"/>
      <c r="O62" s="52"/>
    </row>
    <row r="63" ht="18" customHeight="1" spans="1:14">
      <c r="A63" s="79" t="s">
        <v>83</v>
      </c>
      <c r="B63" s="80">
        <f>B13*0.92</f>
        <v>7052203.12036697</v>
      </c>
      <c r="C63" s="79"/>
      <c r="D63" s="81"/>
      <c r="E63" s="81"/>
      <c r="F63" s="80">
        <f>F13-F62</f>
        <v>255636.142201835</v>
      </c>
      <c r="G63" s="80">
        <f>G13-G62</f>
        <v>653916.787</v>
      </c>
      <c r="H63" s="25" t="s">
        <v>84</v>
      </c>
      <c r="I63" s="106">
        <f>I13-I62</f>
        <v>164443.485095413</v>
      </c>
      <c r="J63" s="10"/>
      <c r="K63" s="107"/>
      <c r="M63" s="108"/>
      <c r="N63" s="108"/>
    </row>
    <row r="64" ht="18" customHeight="1" spans="1:14">
      <c r="A64" s="79" t="s">
        <v>85</v>
      </c>
      <c r="B64" s="80">
        <f>B63-B62</f>
        <v>-383652.219633029</v>
      </c>
      <c r="C64" s="79"/>
      <c r="D64" s="81"/>
      <c r="E64" s="81"/>
      <c r="F64" s="80"/>
      <c r="G64" s="80"/>
      <c r="H64" s="82"/>
      <c r="I64" s="80"/>
      <c r="J64" s="10"/>
      <c r="K64" s="107"/>
      <c r="M64" s="108"/>
      <c r="N64" s="108"/>
    </row>
    <row r="65" ht="18" customHeight="1" spans="1:18">
      <c r="A65" s="5" t="s">
        <v>86</v>
      </c>
      <c r="C65" s="5"/>
      <c r="R65" s="10">
        <f>I44+I47+I54+I57</f>
        <v>21897</v>
      </c>
    </row>
    <row r="66" ht="18" customHeight="1" spans="1:11">
      <c r="A66" s="25" t="s">
        <v>87</v>
      </c>
      <c r="B66" s="24" t="s">
        <v>88</v>
      </c>
      <c r="C66" s="52"/>
      <c r="D66" s="25" t="s">
        <v>87</v>
      </c>
      <c r="E66" s="23" t="s">
        <v>16</v>
      </c>
      <c r="F66" s="24" t="s">
        <v>88</v>
      </c>
      <c r="G66" s="6" t="s">
        <v>89</v>
      </c>
      <c r="H66" s="126" t="s">
        <v>90</v>
      </c>
      <c r="I66" s="126" t="s">
        <v>91</v>
      </c>
      <c r="K66" s="24" t="s">
        <v>92</v>
      </c>
    </row>
    <row r="67" ht="18" customHeight="1" spans="1:11">
      <c r="A67" s="52" t="s">
        <v>93</v>
      </c>
      <c r="B67" s="21">
        <f>(B63-B62)*0.25</f>
        <v>-95913.0549082572</v>
      </c>
      <c r="C67" s="52"/>
      <c r="D67" s="32" t="s">
        <v>94</v>
      </c>
      <c r="E67" s="25" t="s">
        <v>95</v>
      </c>
      <c r="F67" s="123">
        <f>F13-F62</f>
        <v>255636.142201835</v>
      </c>
      <c r="G67" s="6">
        <f>F7</f>
        <v>164714.569266055</v>
      </c>
      <c r="H67" s="127">
        <f>F7</f>
        <v>164714.569266055</v>
      </c>
      <c r="I67" s="27">
        <f>F9-F19-F20</f>
        <v>223803.614036697</v>
      </c>
      <c r="K67" s="27">
        <f>F67-H67-I67+G78+I78</f>
        <v>20043.6288990826</v>
      </c>
    </row>
    <row r="68" ht="18" customHeight="1" spans="1:11">
      <c r="A68" s="52" t="s">
        <v>96</v>
      </c>
      <c r="B68" s="87" t="s">
        <v>97</v>
      </c>
      <c r="C68" s="52"/>
      <c r="D68" s="88" t="s">
        <v>98</v>
      </c>
      <c r="E68" s="17">
        <v>0.05</v>
      </c>
      <c r="F68" s="27">
        <f>F67*E68</f>
        <v>12781.8071100917</v>
      </c>
      <c r="G68" s="6">
        <f>G67*E68</f>
        <v>8235.72846330275</v>
      </c>
      <c r="H68" s="128">
        <f>H67*E68</f>
        <v>8235.72846330275</v>
      </c>
      <c r="I68" s="27">
        <f>I67*E68</f>
        <v>11190.1807018349</v>
      </c>
      <c r="K68" s="27">
        <f>K67*E68</f>
        <v>1002.18144495413</v>
      </c>
    </row>
    <row r="69" ht="18" customHeight="1" spans="1:11">
      <c r="A69" s="52" t="s">
        <v>67</v>
      </c>
      <c r="B69" s="87"/>
      <c r="C69" s="52"/>
      <c r="D69" s="88" t="s">
        <v>99</v>
      </c>
      <c r="E69" s="17">
        <v>0.03</v>
      </c>
      <c r="F69" s="27">
        <f>F67*E69</f>
        <v>7669.08426605504</v>
      </c>
      <c r="G69" s="6">
        <f>G67*E69</f>
        <v>4941.43707798165</v>
      </c>
      <c r="H69" s="128">
        <f>H67*E69</f>
        <v>4941.43707798165</v>
      </c>
      <c r="I69" s="27">
        <f>I67*E69</f>
        <v>6714.10842110092</v>
      </c>
      <c r="K69" s="27">
        <f>K67*E69</f>
        <v>601.308866972477</v>
      </c>
    </row>
    <row r="70" ht="18" customHeight="1" spans="1:11">
      <c r="A70" s="52"/>
      <c r="B70" s="27"/>
      <c r="C70" s="52"/>
      <c r="D70" s="88" t="s">
        <v>100</v>
      </c>
      <c r="E70" s="17">
        <v>0.02</v>
      </c>
      <c r="F70" s="27">
        <f>F67*E70</f>
        <v>5112.7228440367</v>
      </c>
      <c r="G70" s="6">
        <f>G67*E70</f>
        <v>3294.2913853211</v>
      </c>
      <c r="H70" s="128">
        <f>H67*E70</f>
        <v>3294.2913853211</v>
      </c>
      <c r="I70" s="27">
        <f>I67*E70</f>
        <v>4476.07228073394</v>
      </c>
      <c r="K70" s="27">
        <f>K67*E70</f>
        <v>400.872577981651</v>
      </c>
    </row>
    <row r="71" ht="18" customHeight="1" spans="1:11">
      <c r="A71" s="32" t="s">
        <v>101</v>
      </c>
      <c r="B71" s="121">
        <f t="shared" ref="B71:I71" si="13">SUM(B67:B70)</f>
        <v>-95913.0549082572</v>
      </c>
      <c r="C71" s="52"/>
      <c r="D71" s="34" t="s">
        <v>101</v>
      </c>
      <c r="E71" s="32"/>
      <c r="F71" s="123">
        <f t="shared" si="13"/>
        <v>281199.756422018</v>
      </c>
      <c r="G71" s="6">
        <f t="shared" si="13"/>
        <v>181186.026192661</v>
      </c>
      <c r="H71" s="127">
        <f t="shared" si="13"/>
        <v>181186.026192661</v>
      </c>
      <c r="I71" s="27">
        <f t="shared" si="13"/>
        <v>246183.975440367</v>
      </c>
      <c r="K71" s="27">
        <f>SUM(K67:K70)</f>
        <v>22047.9917889908</v>
      </c>
    </row>
    <row r="72" ht="18" customHeight="1" spans="3:11">
      <c r="C72" s="5"/>
      <c r="D72" s="15" t="s">
        <v>67</v>
      </c>
      <c r="E72" s="129">
        <v>0.0006</v>
      </c>
      <c r="F72" s="27">
        <f>B13*E72</f>
        <v>4599.26290458716</v>
      </c>
      <c r="H72" s="27">
        <f>B7*E72</f>
        <v>1411.83916513761</v>
      </c>
      <c r="I72" s="27">
        <f>B9*0.0006</f>
        <v>2521.91009174312</v>
      </c>
      <c r="K72" s="70">
        <f>B10*E72</f>
        <v>665.513647706422</v>
      </c>
    </row>
    <row r="73" ht="18" customHeight="1" spans="3:11">
      <c r="C73" s="5"/>
      <c r="D73" s="23" t="s">
        <v>101</v>
      </c>
      <c r="E73" s="122"/>
      <c r="F73" s="106">
        <f>F72</f>
        <v>4599.26290458716</v>
      </c>
      <c r="H73" s="106">
        <f>H72</f>
        <v>1411.83916513761</v>
      </c>
      <c r="I73" s="27"/>
      <c r="K73" s="52"/>
    </row>
    <row r="74" ht="18" customHeight="1" spans="3:11">
      <c r="C74" s="5"/>
      <c r="D74" s="23" t="s">
        <v>23</v>
      </c>
      <c r="E74" s="113"/>
      <c r="F74" s="106">
        <f>F71+F73</f>
        <v>285799.019326605</v>
      </c>
      <c r="H74" s="106">
        <f>H71+H73</f>
        <v>182597.865357798</v>
      </c>
      <c r="I74" s="27"/>
      <c r="K74" s="52"/>
    </row>
    <row r="75" ht="18" customHeight="1" spans="3:11">
      <c r="C75" s="5"/>
      <c r="D75" s="113" t="s">
        <v>93</v>
      </c>
      <c r="E75" s="122">
        <v>0.02</v>
      </c>
      <c r="F75" s="106">
        <f>B13*E75</f>
        <v>153308.763486239</v>
      </c>
      <c r="G75" s="130" t="s">
        <v>102</v>
      </c>
      <c r="H75" s="106">
        <f>B7*E75</f>
        <v>47061.3055045872</v>
      </c>
      <c r="I75" s="52">
        <f>G9*E75</f>
        <v>91629.4</v>
      </c>
      <c r="K75" s="52">
        <f>B10*E75</f>
        <v>22183.7882568807</v>
      </c>
    </row>
    <row r="76" ht="18" customHeight="1" spans="3:7">
      <c r="C76" s="5"/>
      <c r="G76" s="130" t="s">
        <v>103</v>
      </c>
    </row>
    <row r="77" ht="18" customHeight="1" spans="3:9">
      <c r="C77" s="5"/>
      <c r="E77" s="25" t="s">
        <v>87</v>
      </c>
      <c r="F77" s="23" t="s">
        <v>16</v>
      </c>
      <c r="G77" s="24" t="s">
        <v>104</v>
      </c>
      <c r="H77" s="15"/>
      <c r="I77" s="27" t="s">
        <v>105</v>
      </c>
    </row>
    <row r="78" ht="18" customHeight="1" spans="3:9">
      <c r="C78" s="5"/>
      <c r="E78" s="32" t="s">
        <v>94</v>
      </c>
      <c r="F78" s="25" t="s">
        <v>95</v>
      </c>
      <c r="G78" s="123">
        <f>F17+F18</f>
        <v>115191.16</v>
      </c>
      <c r="H78" s="15"/>
      <c r="I78" s="27">
        <f>F23</f>
        <v>37734.51</v>
      </c>
    </row>
    <row r="79" spans="3:9">
      <c r="C79" s="5"/>
      <c r="E79" s="88" t="s">
        <v>98</v>
      </c>
      <c r="F79" s="17">
        <v>0.05</v>
      </c>
      <c r="G79" s="27">
        <f>G78*E68</f>
        <v>5759.558</v>
      </c>
      <c r="H79" s="15"/>
      <c r="I79" s="27">
        <f>I78*E68</f>
        <v>1886.7255</v>
      </c>
    </row>
    <row r="80" spans="3:9">
      <c r="C80" s="5"/>
      <c r="E80" s="88" t="s">
        <v>99</v>
      </c>
      <c r="F80" s="17">
        <v>0.03</v>
      </c>
      <c r="G80" s="27">
        <f>G78*E69</f>
        <v>3455.7348</v>
      </c>
      <c r="H80" s="15"/>
      <c r="I80" s="27">
        <f>I78*E69</f>
        <v>1132.0353</v>
      </c>
    </row>
    <row r="81" spans="3:9">
      <c r="C81" s="5"/>
      <c r="E81" s="88" t="s">
        <v>100</v>
      </c>
      <c r="F81" s="17">
        <v>0.02</v>
      </c>
      <c r="G81" s="27">
        <f>G78*E70</f>
        <v>2303.8232</v>
      </c>
      <c r="H81" s="15"/>
      <c r="I81" s="27">
        <f>I78*E70</f>
        <v>754.6902</v>
      </c>
    </row>
    <row r="82" spans="3:9">
      <c r="C82" s="5"/>
      <c r="E82" s="34" t="s">
        <v>101</v>
      </c>
      <c r="F82" s="32"/>
      <c r="G82" s="123">
        <f>SUM(G78:G81)</f>
        <v>126710.276</v>
      </c>
      <c r="H82" s="15"/>
      <c r="I82" s="137">
        <f>SUM(I78:I81)</f>
        <v>41507.961</v>
      </c>
    </row>
    <row r="83" spans="3:9">
      <c r="C83" s="5"/>
      <c r="G83" s="80" t="s">
        <v>106</v>
      </c>
      <c r="I83" s="80" t="s">
        <v>107</v>
      </c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</sheetData>
  <protectedRanges>
    <protectedRange sqref="I19" name="区域1"/>
  </protectedRanges>
  <autoFilter ref="A15:R9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K14" sqref="K14"/>
    </sheetView>
  </sheetViews>
  <sheetFormatPr defaultColWidth="9" defaultRowHeight="13.5" outlineLevelRow="5" outlineLevelCol="2"/>
  <cols>
    <col min="3" max="3" width="26.3833333333333" customWidth="1"/>
  </cols>
  <sheetData>
    <row r="1" spans="1:3">
      <c r="A1" s="25" t="s">
        <v>87</v>
      </c>
      <c r="B1" s="23" t="s">
        <v>16</v>
      </c>
      <c r="C1" s="25" t="s">
        <v>89</v>
      </c>
    </row>
    <row r="2" spans="1:3">
      <c r="A2" s="32" t="s">
        <v>94</v>
      </c>
      <c r="B2" s="25" t="s">
        <v>95</v>
      </c>
      <c r="C2" s="27">
        <v>164714.569266055</v>
      </c>
    </row>
    <row r="3" spans="1:3">
      <c r="A3" s="88" t="s">
        <v>98</v>
      </c>
      <c r="B3" s="17">
        <v>0.05</v>
      </c>
      <c r="C3" s="27">
        <v>8235.72846330275</v>
      </c>
    </row>
    <row r="4" spans="1:3">
      <c r="A4" s="88" t="s">
        <v>99</v>
      </c>
      <c r="B4" s="17">
        <v>0.03</v>
      </c>
      <c r="C4" s="27">
        <v>4941.43707798165</v>
      </c>
    </row>
    <row r="5" spans="1:3">
      <c r="A5" s="88" t="s">
        <v>100</v>
      </c>
      <c r="B5" s="17">
        <v>0.02</v>
      </c>
      <c r="C5" s="27">
        <v>3294.2913853211</v>
      </c>
    </row>
    <row r="6" spans="1:3">
      <c r="A6" s="34" t="s">
        <v>101</v>
      </c>
      <c r="B6" s="32"/>
      <c r="C6" s="106">
        <v>181186.026192661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7"/>
  <sheetViews>
    <sheetView topLeftCell="A25" workbookViewId="0">
      <selection activeCell="M61" sqref="M61"/>
    </sheetView>
  </sheetViews>
  <sheetFormatPr defaultColWidth="9" defaultRowHeight="11.25"/>
  <cols>
    <col min="1" max="1" width="10.75" style="5" customWidth="1"/>
    <col min="2" max="2" width="13.1333333333333" style="6" customWidth="1"/>
    <col min="3" max="3" width="6" style="7" customWidth="1"/>
    <col min="4" max="4" width="14.5" style="7" customWidth="1"/>
    <col min="5" max="5" width="6" style="7" customWidth="1"/>
    <col min="6" max="6" width="13.1333333333333" style="6" customWidth="1"/>
    <col min="7" max="7" width="15.5" style="6" customWidth="1"/>
    <col min="8" max="8" width="12.6333333333333" style="7" customWidth="1"/>
    <col min="9" max="9" width="13.8833333333333" style="6" customWidth="1"/>
    <col min="10" max="10" width="6.13333333333333" style="9" customWidth="1"/>
    <col min="11" max="11" width="31.5" style="10" customWidth="1"/>
    <col min="12" max="12" width="12.75" style="10" customWidth="1"/>
    <col min="13" max="13" width="8.38333333333333" style="10" customWidth="1"/>
    <col min="14" max="14" width="5.63333333333333" style="10" customWidth="1"/>
    <col min="15" max="15" width="9.63333333333333" style="10"/>
    <col min="16" max="17" width="9" style="10"/>
    <col min="18" max="18" width="10.3833333333333" style="10"/>
    <col min="19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2"/>
      <c r="L1" s="22"/>
    </row>
    <row r="2" ht="18" customHeight="1" spans="1:12">
      <c r="A2" s="13" t="s">
        <v>1</v>
      </c>
      <c r="B2" s="14">
        <v>43594</v>
      </c>
      <c r="C2" s="15" t="s">
        <v>2</v>
      </c>
      <c r="D2" s="16">
        <v>17098941</v>
      </c>
      <c r="E2" s="17" t="s">
        <v>3</v>
      </c>
      <c r="F2" s="18" t="s">
        <v>4</v>
      </c>
      <c r="G2" s="19" t="s">
        <v>5</v>
      </c>
      <c r="H2" s="112" t="s">
        <v>6</v>
      </c>
      <c r="I2" s="48"/>
      <c r="J2" s="49"/>
      <c r="K2" s="22"/>
      <c r="L2" s="22"/>
    </row>
    <row r="3" ht="18" customHeight="1" spans="1:12">
      <c r="A3" s="13" t="s">
        <v>7</v>
      </c>
      <c r="B3" s="21"/>
      <c r="C3" s="15" t="s">
        <v>8</v>
      </c>
      <c r="D3" s="15"/>
      <c r="H3" s="22"/>
      <c r="I3" s="50"/>
      <c r="J3" s="22"/>
      <c r="K3" s="22"/>
      <c r="L3" s="22"/>
    </row>
    <row r="4" ht="18" customHeight="1" spans="1:12">
      <c r="A4" s="5" t="s">
        <v>9</v>
      </c>
      <c r="H4" s="22"/>
      <c r="I4" s="50"/>
      <c r="J4" s="22"/>
      <c r="K4" s="22"/>
      <c r="L4" s="22"/>
    </row>
    <row r="5" ht="18" customHeight="1" spans="1:10">
      <c r="A5" s="23" t="s">
        <v>10</v>
      </c>
      <c r="B5" s="24" t="s">
        <v>11</v>
      </c>
      <c r="C5" s="23" t="s">
        <v>12</v>
      </c>
      <c r="D5" s="23"/>
      <c r="E5" s="23" t="s">
        <v>13</v>
      </c>
      <c r="F5" s="24"/>
      <c r="G5" s="24" t="s">
        <v>14</v>
      </c>
      <c r="H5" s="25" t="s">
        <v>15</v>
      </c>
      <c r="I5" s="24"/>
      <c r="J5" s="25"/>
    </row>
    <row r="6" ht="18" customHeight="1" spans="1:10">
      <c r="A6" s="23"/>
      <c r="B6" s="24"/>
      <c r="C6" s="23" t="s">
        <v>16</v>
      </c>
      <c r="D6" s="23" t="s">
        <v>17</v>
      </c>
      <c r="E6" s="23" t="s">
        <v>16</v>
      </c>
      <c r="F6" s="24" t="s">
        <v>17</v>
      </c>
      <c r="G6" s="24"/>
      <c r="H6" s="25" t="s">
        <v>18</v>
      </c>
      <c r="I6" s="24" t="s">
        <v>19</v>
      </c>
      <c r="J6" s="25" t="s">
        <v>20</v>
      </c>
    </row>
    <row r="7" ht="18" customHeight="1" spans="1:10">
      <c r="A7" s="26">
        <v>43679</v>
      </c>
      <c r="B7" s="27">
        <f t="shared" ref="B7:B10" si="0">G7/(1+C7+E7)</f>
        <v>2353065.27522936</v>
      </c>
      <c r="C7" s="28">
        <v>0.02</v>
      </c>
      <c r="D7" s="29">
        <f t="shared" ref="D7:D12" si="1">G7/(1+E7+C7)*C7</f>
        <v>47061.3055045872</v>
      </c>
      <c r="E7" s="28">
        <v>0.07</v>
      </c>
      <c r="F7" s="27">
        <f t="shared" ref="F7:F12" si="2">G7/(1+C7+E7)*E7</f>
        <v>164714.569266055</v>
      </c>
      <c r="G7" s="30">
        <v>2564841.15</v>
      </c>
      <c r="H7" s="26">
        <v>43682</v>
      </c>
      <c r="I7" s="27">
        <v>2564841.15</v>
      </c>
      <c r="J7" s="51" t="s">
        <v>21</v>
      </c>
    </row>
    <row r="8" ht="18" customHeight="1" spans="1:10">
      <c r="A8" s="26"/>
      <c r="B8" s="27"/>
      <c r="C8" s="28"/>
      <c r="D8" s="29"/>
      <c r="E8" s="28"/>
      <c r="F8" s="27"/>
      <c r="G8" s="30"/>
      <c r="H8" s="26">
        <v>43850</v>
      </c>
      <c r="I8" s="27">
        <v>3665176</v>
      </c>
      <c r="J8" s="51" t="s">
        <v>21</v>
      </c>
    </row>
    <row r="9" ht="18" customHeight="1" spans="1:10">
      <c r="A9" s="26">
        <v>43838</v>
      </c>
      <c r="B9" s="27">
        <f t="shared" si="0"/>
        <v>4203183.48623853</v>
      </c>
      <c r="C9" s="28">
        <v>0.02</v>
      </c>
      <c r="D9" s="29">
        <f t="shared" si="1"/>
        <v>84063.6697247706</v>
      </c>
      <c r="E9" s="31">
        <v>0.07</v>
      </c>
      <c r="F9" s="27">
        <f t="shared" si="2"/>
        <v>294222.844036697</v>
      </c>
      <c r="G9" s="30">
        <v>4581470</v>
      </c>
      <c r="H9" s="26">
        <v>43850</v>
      </c>
      <c r="I9" s="27">
        <v>916294</v>
      </c>
      <c r="J9" s="51" t="s">
        <v>22</v>
      </c>
    </row>
    <row r="10" ht="18" customHeight="1" spans="1:10">
      <c r="A10" s="26">
        <v>43962</v>
      </c>
      <c r="B10" s="27">
        <f t="shared" si="0"/>
        <v>1109189.41284404</v>
      </c>
      <c r="C10" s="31">
        <v>0.02</v>
      </c>
      <c r="D10" s="29">
        <f t="shared" si="1"/>
        <v>22183.7882568807</v>
      </c>
      <c r="E10" s="31">
        <v>0.07</v>
      </c>
      <c r="F10" s="27">
        <f t="shared" si="2"/>
        <v>77643.2588990826</v>
      </c>
      <c r="G10" s="30">
        <v>1209016.46</v>
      </c>
      <c r="H10" s="26">
        <v>43971</v>
      </c>
      <c r="I10" s="27">
        <v>1209016.46</v>
      </c>
      <c r="J10" s="51" t="s">
        <v>21</v>
      </c>
    </row>
    <row r="11" ht="18" customHeight="1" spans="1:10">
      <c r="A11" s="26"/>
      <c r="B11" s="27"/>
      <c r="C11" s="31">
        <v>0.02</v>
      </c>
      <c r="D11" s="29">
        <f t="shared" si="1"/>
        <v>0</v>
      </c>
      <c r="E11" s="31">
        <v>0.07</v>
      </c>
      <c r="F11" s="27">
        <f t="shared" si="2"/>
        <v>0</v>
      </c>
      <c r="G11" s="30"/>
      <c r="H11" s="26"/>
      <c r="I11" s="27"/>
      <c r="J11" s="51"/>
    </row>
    <row r="12" ht="18" customHeight="1" spans="1:10">
      <c r="A12" s="26"/>
      <c r="B12" s="27">
        <f>G12/(1+C12+E12)</f>
        <v>0</v>
      </c>
      <c r="C12" s="28">
        <v>0.02</v>
      </c>
      <c r="D12" s="29">
        <f t="shared" si="1"/>
        <v>0</v>
      </c>
      <c r="E12" s="31">
        <v>0.07</v>
      </c>
      <c r="F12" s="27">
        <f t="shared" si="2"/>
        <v>0</v>
      </c>
      <c r="G12" s="30"/>
      <c r="H12" s="26"/>
      <c r="I12" s="27"/>
      <c r="J12" s="51"/>
    </row>
    <row r="13" ht="18" customHeight="1" spans="1:10">
      <c r="A13" s="32" t="s">
        <v>23</v>
      </c>
      <c r="B13" s="121">
        <f t="shared" ref="B13:G13" si="3">SUM(B7:B12)</f>
        <v>7665438.17431193</v>
      </c>
      <c r="C13" s="113"/>
      <c r="D13" s="106">
        <f t="shared" si="3"/>
        <v>153308.763486239</v>
      </c>
      <c r="E13" s="113"/>
      <c r="F13" s="123">
        <f t="shared" si="3"/>
        <v>536580.672201835</v>
      </c>
      <c r="G13" s="106">
        <f t="shared" si="3"/>
        <v>8355327.61</v>
      </c>
      <c r="H13" s="52"/>
      <c r="I13" s="106">
        <f>SUM(I7:I12)</f>
        <v>8355327.61</v>
      </c>
      <c r="J13" s="52"/>
    </row>
    <row r="14" ht="18" customHeight="1" spans="1:12">
      <c r="A14" s="5" t="s">
        <v>24</v>
      </c>
      <c r="J14" s="7"/>
      <c r="K14" s="7"/>
      <c r="L14" s="9"/>
    </row>
    <row r="15" ht="18" customHeight="1" spans="1:15">
      <c r="A15" s="34" t="s">
        <v>25</v>
      </c>
      <c r="B15" s="24" t="s">
        <v>26</v>
      </c>
      <c r="C15" s="23" t="s">
        <v>27</v>
      </c>
      <c r="D15" s="23" t="s">
        <v>28</v>
      </c>
      <c r="E15" s="23" t="s">
        <v>16</v>
      </c>
      <c r="F15" s="24" t="s">
        <v>29</v>
      </c>
      <c r="G15" s="24" t="s">
        <v>14</v>
      </c>
      <c r="H15" s="23" t="s">
        <v>30</v>
      </c>
      <c r="I15" s="24" t="s">
        <v>31</v>
      </c>
      <c r="J15" s="23" t="s">
        <v>20</v>
      </c>
      <c r="K15" s="53" t="s">
        <v>32</v>
      </c>
      <c r="L15" s="25" t="s">
        <v>33</v>
      </c>
      <c r="M15" s="25" t="s">
        <v>34</v>
      </c>
      <c r="N15" s="25" t="s">
        <v>35</v>
      </c>
      <c r="O15" s="25" t="s">
        <v>36</v>
      </c>
    </row>
    <row r="16" customFormat="1" ht="18" customHeight="1" spans="1:15">
      <c r="A16" s="35">
        <v>43647</v>
      </c>
      <c r="B16" s="36">
        <f t="shared" ref="B16:B33" si="4">ROUND(G16/(1+E16),2)</f>
        <v>15389.05</v>
      </c>
      <c r="C16" s="23"/>
      <c r="D16" s="37" t="s">
        <v>37</v>
      </c>
      <c r="E16" s="38"/>
      <c r="F16" s="36">
        <f t="shared" ref="F16:F31" si="5">ROUND(G16/(1+E16)*E16,2)</f>
        <v>0</v>
      </c>
      <c r="G16" s="30">
        <v>15389.05</v>
      </c>
      <c r="H16" s="23"/>
      <c r="I16" s="24"/>
      <c r="J16" s="23"/>
      <c r="K16" s="53"/>
      <c r="L16" s="25"/>
      <c r="M16" s="25"/>
      <c r="N16" s="25"/>
      <c r="O16" s="25"/>
    </row>
    <row r="17" s="1" customFormat="1" ht="18" customHeight="1" spans="1:15">
      <c r="A17" s="35">
        <v>43678</v>
      </c>
      <c r="B17" s="36">
        <f t="shared" si="4"/>
        <v>619469.03</v>
      </c>
      <c r="C17" s="39"/>
      <c r="D17" s="37" t="s">
        <v>38</v>
      </c>
      <c r="E17" s="38">
        <v>0.13</v>
      </c>
      <c r="F17" s="36">
        <f t="shared" si="5"/>
        <v>80530.97</v>
      </c>
      <c r="G17" s="30">
        <v>700000</v>
      </c>
      <c r="H17" s="26">
        <v>43683</v>
      </c>
      <c r="I17" s="27">
        <v>700000</v>
      </c>
      <c r="J17" s="51" t="s">
        <v>21</v>
      </c>
      <c r="K17" s="54" t="s">
        <v>39</v>
      </c>
      <c r="L17" s="55" t="s">
        <v>40</v>
      </c>
      <c r="M17" s="56" t="s">
        <v>41</v>
      </c>
      <c r="N17" s="56" t="s">
        <v>42</v>
      </c>
      <c r="O17" s="55"/>
    </row>
    <row r="18" s="1" customFormat="1" ht="18" customHeight="1" spans="1:15">
      <c r="A18" s="35">
        <v>43678</v>
      </c>
      <c r="B18" s="36">
        <f t="shared" si="4"/>
        <v>1155339.81</v>
      </c>
      <c r="C18" s="39"/>
      <c r="D18" s="37" t="s">
        <v>38</v>
      </c>
      <c r="E18" s="38">
        <v>0.03</v>
      </c>
      <c r="F18" s="36">
        <f t="shared" si="5"/>
        <v>34660.19</v>
      </c>
      <c r="G18" s="30">
        <v>1190000</v>
      </c>
      <c r="H18" s="26">
        <v>43683</v>
      </c>
      <c r="I18" s="27">
        <v>1190000</v>
      </c>
      <c r="J18" s="51" t="s">
        <v>21</v>
      </c>
      <c r="K18" s="54" t="s">
        <v>43</v>
      </c>
      <c r="L18" s="55" t="s">
        <v>44</v>
      </c>
      <c r="M18" s="56"/>
      <c r="N18" s="56"/>
      <c r="O18" s="55"/>
    </row>
    <row r="19" s="1" customFormat="1" ht="18" customHeight="1" spans="1:15">
      <c r="A19" s="35">
        <v>43709</v>
      </c>
      <c r="B19" s="21">
        <f t="shared" si="4"/>
        <v>487699.12</v>
      </c>
      <c r="C19" s="39"/>
      <c r="D19" s="37" t="s">
        <v>38</v>
      </c>
      <c r="E19" s="38">
        <v>0.13</v>
      </c>
      <c r="F19" s="36">
        <f t="shared" si="5"/>
        <v>63400.88</v>
      </c>
      <c r="G19" s="30">
        <f>95700+99000*2+66000+92400+99000</f>
        <v>551100</v>
      </c>
      <c r="H19" s="26">
        <v>43718</v>
      </c>
      <c r="I19" s="57">
        <v>551100</v>
      </c>
      <c r="J19" s="51" t="s">
        <v>21</v>
      </c>
      <c r="K19" s="54" t="s">
        <v>39</v>
      </c>
      <c r="L19" s="55" t="s">
        <v>45</v>
      </c>
      <c r="M19" s="56" t="s">
        <v>41</v>
      </c>
      <c r="N19" s="56" t="s">
        <v>46</v>
      </c>
      <c r="O19" s="55"/>
    </row>
    <row r="20" s="1" customFormat="1" ht="18" customHeight="1" spans="1:15">
      <c r="A20" s="35">
        <v>43709</v>
      </c>
      <c r="B20" s="21">
        <f t="shared" si="4"/>
        <v>77981.65</v>
      </c>
      <c r="C20" s="39"/>
      <c r="D20" s="37" t="s">
        <v>38</v>
      </c>
      <c r="E20" s="38">
        <v>0.09</v>
      </c>
      <c r="F20" s="36">
        <f t="shared" si="5"/>
        <v>7018.35</v>
      </c>
      <c r="G20" s="30">
        <v>85000</v>
      </c>
      <c r="H20" s="26"/>
      <c r="I20" s="27"/>
      <c r="J20" s="51"/>
      <c r="K20" s="58" t="s">
        <v>47</v>
      </c>
      <c r="L20" s="55" t="s">
        <v>48</v>
      </c>
      <c r="M20" s="56"/>
      <c r="N20" s="56"/>
      <c r="O20" s="55"/>
    </row>
    <row r="21" s="1" customFormat="1" ht="18" customHeight="1" spans="1:15">
      <c r="A21" s="35"/>
      <c r="B21" s="21">
        <f t="shared" si="4"/>
        <v>0</v>
      </c>
      <c r="C21" s="39"/>
      <c r="D21" s="37"/>
      <c r="E21" s="38"/>
      <c r="F21" s="36">
        <f t="shared" si="5"/>
        <v>0</v>
      </c>
      <c r="G21" s="30"/>
      <c r="H21" s="26">
        <v>43851</v>
      </c>
      <c r="I21" s="27">
        <v>85000</v>
      </c>
      <c r="J21" s="51" t="s">
        <v>21</v>
      </c>
      <c r="K21" s="58" t="s">
        <v>49</v>
      </c>
      <c r="L21" s="55" t="s">
        <v>48</v>
      </c>
      <c r="M21" s="56"/>
      <c r="N21" s="56"/>
      <c r="O21" s="55"/>
    </row>
    <row r="22" s="1" customFormat="1" ht="18" customHeight="1" spans="1:15">
      <c r="A22" s="35">
        <v>43891</v>
      </c>
      <c r="B22" s="21">
        <f t="shared" si="4"/>
        <v>387610.62</v>
      </c>
      <c r="C22" s="39"/>
      <c r="D22" s="37" t="s">
        <v>38</v>
      </c>
      <c r="E22" s="38">
        <v>0.13</v>
      </c>
      <c r="F22" s="36">
        <f t="shared" si="5"/>
        <v>50389.38</v>
      </c>
      <c r="G22" s="30">
        <f>83422.36+92199+62519.24+99995.4+99864</f>
        <v>438000</v>
      </c>
      <c r="H22" s="26">
        <v>43852</v>
      </c>
      <c r="I22" s="27">
        <v>438000</v>
      </c>
      <c r="J22" s="51" t="s">
        <v>21</v>
      </c>
      <c r="K22" s="58" t="s">
        <v>50</v>
      </c>
      <c r="L22" s="55" t="s">
        <v>51</v>
      </c>
      <c r="M22" s="56"/>
      <c r="N22" s="56"/>
      <c r="O22" s="55"/>
    </row>
    <row r="23" s="1" customFormat="1" ht="18" customHeight="1" spans="1:15">
      <c r="A23" s="41">
        <v>43831</v>
      </c>
      <c r="B23" s="36">
        <f t="shared" si="4"/>
        <v>290265.49</v>
      </c>
      <c r="C23" s="42"/>
      <c r="D23" s="43" t="s">
        <v>38</v>
      </c>
      <c r="E23" s="38">
        <v>0.13</v>
      </c>
      <c r="F23" s="36">
        <f t="shared" si="5"/>
        <v>37734.51</v>
      </c>
      <c r="G23" s="30">
        <f>73800+82000+90200+82000</f>
        <v>328000</v>
      </c>
      <c r="H23" s="26">
        <v>43852</v>
      </c>
      <c r="I23" s="27">
        <v>328000</v>
      </c>
      <c r="J23" s="51" t="s">
        <v>21</v>
      </c>
      <c r="K23" s="58" t="s">
        <v>39</v>
      </c>
      <c r="L23" s="55" t="s">
        <v>52</v>
      </c>
      <c r="M23" s="56" t="s">
        <v>41</v>
      </c>
      <c r="N23" s="56" t="s">
        <v>41</v>
      </c>
      <c r="O23" s="55"/>
    </row>
    <row r="24" s="1" customFormat="1" ht="18" customHeight="1" spans="1:15">
      <c r="A24" s="35"/>
      <c r="B24" s="21">
        <f t="shared" si="4"/>
        <v>0</v>
      </c>
      <c r="C24" s="39"/>
      <c r="D24" s="37"/>
      <c r="E24" s="38"/>
      <c r="F24" s="36">
        <f t="shared" si="5"/>
        <v>0</v>
      </c>
      <c r="G24" s="30"/>
      <c r="H24" s="26">
        <v>43852</v>
      </c>
      <c r="I24" s="27">
        <v>916294</v>
      </c>
      <c r="J24" s="51" t="s">
        <v>22</v>
      </c>
      <c r="K24" s="58" t="s">
        <v>53</v>
      </c>
      <c r="L24" s="55" t="s">
        <v>54</v>
      </c>
      <c r="M24" s="56">
        <v>5138695.06</v>
      </c>
      <c r="N24" s="56"/>
      <c r="O24" s="55"/>
    </row>
    <row r="25" s="1" customFormat="1" ht="18" customHeight="1" spans="1:15">
      <c r="A25" s="35">
        <v>43891</v>
      </c>
      <c r="B25" s="21">
        <f t="shared" si="4"/>
        <v>2721460</v>
      </c>
      <c r="C25" s="39"/>
      <c r="D25" s="37" t="s">
        <v>37</v>
      </c>
      <c r="E25" s="38"/>
      <c r="F25" s="36">
        <f t="shared" si="5"/>
        <v>0</v>
      </c>
      <c r="G25" s="30">
        <f>100000*27+21460</f>
        <v>2721460</v>
      </c>
      <c r="H25" s="26">
        <v>43852</v>
      </c>
      <c r="I25" s="27">
        <v>980000</v>
      </c>
      <c r="J25" s="51" t="s">
        <v>21</v>
      </c>
      <c r="K25" s="58" t="s">
        <v>53</v>
      </c>
      <c r="L25" s="55" t="s">
        <v>54</v>
      </c>
      <c r="M25" s="56" t="s">
        <v>41</v>
      </c>
      <c r="N25" s="56"/>
      <c r="O25" s="55"/>
    </row>
    <row r="26" s="1" customFormat="1" ht="18" customHeight="1" spans="1:15">
      <c r="A26" s="35">
        <v>43891</v>
      </c>
      <c r="B26" s="21">
        <f t="shared" si="4"/>
        <v>240341.75</v>
      </c>
      <c r="C26" s="39"/>
      <c r="D26" s="37" t="s">
        <v>38</v>
      </c>
      <c r="E26" s="38">
        <v>0.03</v>
      </c>
      <c r="F26" s="36">
        <f t="shared" si="5"/>
        <v>7210.25</v>
      </c>
      <c r="G26" s="30">
        <f>7552+10000*24</f>
        <v>247552</v>
      </c>
      <c r="H26" s="26">
        <v>43852</v>
      </c>
      <c r="I26" s="27">
        <v>527552</v>
      </c>
      <c r="J26" s="51" t="s">
        <v>21</v>
      </c>
      <c r="K26" s="54" t="s">
        <v>43</v>
      </c>
      <c r="L26" s="55" t="s">
        <v>44</v>
      </c>
      <c r="M26" s="56"/>
      <c r="N26" s="56"/>
      <c r="O26" s="55"/>
    </row>
    <row r="27" s="1" customFormat="1" ht="18" customHeight="1" spans="1:15">
      <c r="A27" s="35"/>
      <c r="B27" s="21">
        <f t="shared" si="4"/>
        <v>0</v>
      </c>
      <c r="C27" s="39"/>
      <c r="D27" s="37"/>
      <c r="E27" s="38"/>
      <c r="F27" s="36">
        <f t="shared" si="5"/>
        <v>0</v>
      </c>
      <c r="G27" s="30"/>
      <c r="H27" s="26">
        <v>43900</v>
      </c>
      <c r="I27" s="27">
        <v>823772</v>
      </c>
      <c r="J27" s="51" t="s">
        <v>21</v>
      </c>
      <c r="K27" s="58" t="s">
        <v>53</v>
      </c>
      <c r="L27" s="55" t="s">
        <v>54</v>
      </c>
      <c r="M27" s="56" t="s">
        <v>41</v>
      </c>
      <c r="N27" s="56"/>
      <c r="O27" s="55"/>
    </row>
    <row r="28" s="1" customFormat="1" ht="18" customHeight="1" spans="1:15">
      <c r="A28" s="35"/>
      <c r="B28" s="21">
        <f t="shared" si="4"/>
        <v>0</v>
      </c>
      <c r="C28" s="39"/>
      <c r="D28" s="37"/>
      <c r="E28" s="38"/>
      <c r="F28" s="36">
        <f t="shared" si="5"/>
        <v>0</v>
      </c>
      <c r="G28" s="30"/>
      <c r="H28" s="26">
        <v>43972</v>
      </c>
      <c r="I28" s="27">
        <v>901394</v>
      </c>
      <c r="J28" s="51" t="s">
        <v>21</v>
      </c>
      <c r="K28" s="58" t="s">
        <v>53</v>
      </c>
      <c r="L28" s="55" t="s">
        <v>54</v>
      </c>
      <c r="M28" s="56" t="s">
        <v>41</v>
      </c>
      <c r="N28" s="56"/>
      <c r="O28" s="55"/>
    </row>
    <row r="29" s="1" customFormat="1" ht="18" customHeight="1" spans="1:15">
      <c r="A29" s="35"/>
      <c r="B29" s="21">
        <f t="shared" si="4"/>
        <v>0</v>
      </c>
      <c r="C29" s="39"/>
      <c r="D29" s="37"/>
      <c r="E29" s="38"/>
      <c r="F29" s="36">
        <f t="shared" si="5"/>
        <v>0</v>
      </c>
      <c r="G29" s="30"/>
      <c r="H29" s="26"/>
      <c r="I29" s="27"/>
      <c r="J29" s="51" t="s">
        <v>21</v>
      </c>
      <c r="K29" s="58" t="s">
        <v>39</v>
      </c>
      <c r="L29" s="55" t="s">
        <v>55</v>
      </c>
      <c r="M29" s="56"/>
      <c r="N29" s="56"/>
      <c r="O29" s="55"/>
    </row>
    <row r="30" s="1" customFormat="1" ht="18" customHeight="1" spans="1:15">
      <c r="A30" s="35">
        <v>43972</v>
      </c>
      <c r="B30" s="21">
        <f t="shared" si="4"/>
        <v>900000</v>
      </c>
      <c r="C30" s="39"/>
      <c r="D30" s="37" t="s">
        <v>37</v>
      </c>
      <c r="E30" s="38"/>
      <c r="F30" s="36">
        <f t="shared" si="5"/>
        <v>0</v>
      </c>
      <c r="G30" s="139">
        <v>900000</v>
      </c>
      <c r="H30" s="26"/>
      <c r="I30" s="27"/>
      <c r="J30" s="51"/>
      <c r="K30" s="58" t="s">
        <v>53</v>
      </c>
      <c r="L30" s="55" t="s">
        <v>54</v>
      </c>
      <c r="M30" s="56"/>
      <c r="N30" s="56"/>
      <c r="O30" s="55"/>
    </row>
    <row r="31" s="1" customFormat="1" ht="18" customHeight="1" spans="1:15">
      <c r="A31" s="35">
        <v>43983</v>
      </c>
      <c r="B31" s="21">
        <f t="shared" si="4"/>
        <v>198320</v>
      </c>
      <c r="C31" s="39"/>
      <c r="D31" s="37" t="s">
        <v>56</v>
      </c>
      <c r="E31" s="38"/>
      <c r="F31" s="36">
        <f t="shared" si="5"/>
        <v>0</v>
      </c>
      <c r="G31" s="30">
        <v>198320</v>
      </c>
      <c r="H31" s="26">
        <v>43984</v>
      </c>
      <c r="I31" s="27">
        <v>198320</v>
      </c>
      <c r="J31" s="51" t="s">
        <v>57</v>
      </c>
      <c r="K31" s="58" t="s">
        <v>58</v>
      </c>
      <c r="L31" s="55"/>
      <c r="M31" s="56"/>
      <c r="N31" s="56"/>
      <c r="O31" s="55"/>
    </row>
    <row r="32" s="1" customFormat="1" ht="18" customHeight="1" spans="1:15">
      <c r="A32" s="35">
        <v>44013</v>
      </c>
      <c r="B32" s="21">
        <f t="shared" si="4"/>
        <v>199640</v>
      </c>
      <c r="C32" s="39"/>
      <c r="D32" s="37" t="s">
        <v>108</v>
      </c>
      <c r="E32" s="38"/>
      <c r="F32" s="36">
        <f t="shared" ref="F32:F40" si="6">ROUND(G32/(1+E32)*E32,2)</f>
        <v>0</v>
      </c>
      <c r="G32" s="30">
        <f>49910*4</f>
        <v>199640</v>
      </c>
      <c r="H32" s="26"/>
      <c r="I32" s="65"/>
      <c r="J32" s="51"/>
      <c r="K32" s="72" t="s">
        <v>109</v>
      </c>
      <c r="L32" s="143" t="s">
        <v>110</v>
      </c>
      <c r="M32" s="56" t="s">
        <v>41</v>
      </c>
      <c r="N32" s="56" t="s">
        <v>41</v>
      </c>
      <c r="O32" s="55"/>
    </row>
    <row r="33" s="1" customFormat="1" ht="18" customHeight="1" spans="1:15">
      <c r="A33" s="35"/>
      <c r="B33" s="21">
        <f t="shared" si="4"/>
        <v>0</v>
      </c>
      <c r="C33" s="39"/>
      <c r="D33" s="37"/>
      <c r="E33" s="38"/>
      <c r="F33" s="36">
        <f t="shared" si="6"/>
        <v>0</v>
      </c>
      <c r="G33" s="30"/>
      <c r="H33" s="46">
        <v>44020</v>
      </c>
      <c r="I33" s="70">
        <v>49910</v>
      </c>
      <c r="J33" s="71" t="s">
        <v>57</v>
      </c>
      <c r="K33" s="72" t="s">
        <v>111</v>
      </c>
      <c r="L33" s="55"/>
      <c r="M33" s="56"/>
      <c r="N33" s="56"/>
      <c r="O33" s="55"/>
    </row>
    <row r="34" s="1" customFormat="1" ht="18" customHeight="1" spans="1:15">
      <c r="A34" s="35"/>
      <c r="B34" s="21">
        <f t="shared" ref="B34:B39" si="7">ROUND(G34/(1+E34),2)</f>
        <v>0</v>
      </c>
      <c r="C34" s="39"/>
      <c r="D34" s="37"/>
      <c r="E34" s="38"/>
      <c r="F34" s="36">
        <f t="shared" si="6"/>
        <v>0</v>
      </c>
      <c r="G34" s="30"/>
      <c r="H34" s="46">
        <v>44020</v>
      </c>
      <c r="I34" s="70">
        <v>49910</v>
      </c>
      <c r="J34" s="71" t="s">
        <v>57</v>
      </c>
      <c r="K34" s="72" t="s">
        <v>112</v>
      </c>
      <c r="L34" s="55"/>
      <c r="M34" s="56"/>
      <c r="N34" s="56"/>
      <c r="O34" s="55"/>
    </row>
    <row r="35" s="1" customFormat="1" ht="18" customHeight="1" spans="1:15">
      <c r="A35" s="35"/>
      <c r="B35" s="21">
        <f t="shared" si="7"/>
        <v>0</v>
      </c>
      <c r="C35" s="39"/>
      <c r="D35" s="37"/>
      <c r="E35" s="38"/>
      <c r="F35" s="36">
        <f t="shared" si="6"/>
        <v>0</v>
      </c>
      <c r="G35" s="30"/>
      <c r="H35" s="26"/>
      <c r="I35" s="27"/>
      <c r="J35" s="51"/>
      <c r="K35" s="58"/>
      <c r="L35" s="55"/>
      <c r="M35" s="56"/>
      <c r="N35" s="56"/>
      <c r="O35" s="55"/>
    </row>
    <row r="36" s="1" customFormat="1" ht="18" customHeight="1" spans="1:15">
      <c r="A36" s="35"/>
      <c r="B36" s="21">
        <f t="shared" si="7"/>
        <v>0</v>
      </c>
      <c r="C36" s="39"/>
      <c r="D36" s="37"/>
      <c r="E36" s="38"/>
      <c r="F36" s="36">
        <f t="shared" si="6"/>
        <v>0</v>
      </c>
      <c r="G36" s="30"/>
      <c r="H36" s="26"/>
      <c r="I36" s="27"/>
      <c r="J36" s="51"/>
      <c r="K36" s="58"/>
      <c r="L36" s="55"/>
      <c r="M36" s="56"/>
      <c r="N36" s="56"/>
      <c r="O36" s="55"/>
    </row>
    <row r="37" s="1" customFormat="1" ht="18" customHeight="1" spans="1:15">
      <c r="A37" s="35"/>
      <c r="B37" s="21">
        <f t="shared" si="7"/>
        <v>0</v>
      </c>
      <c r="C37" s="39"/>
      <c r="D37" s="37"/>
      <c r="E37" s="38"/>
      <c r="F37" s="36">
        <f t="shared" si="6"/>
        <v>0</v>
      </c>
      <c r="G37" s="30"/>
      <c r="H37" s="46" t="s">
        <v>113</v>
      </c>
      <c r="I37" s="70">
        <v>100</v>
      </c>
      <c r="J37" s="71" t="s">
        <v>59</v>
      </c>
      <c r="K37" s="72" t="s">
        <v>60</v>
      </c>
      <c r="L37" s="55"/>
      <c r="M37" s="56"/>
      <c r="N37" s="56"/>
      <c r="O37" s="55"/>
    </row>
    <row r="38" s="1" customFormat="1" ht="18" customHeight="1" spans="1:15">
      <c r="A38" s="35"/>
      <c r="B38" s="21">
        <f t="shared" si="7"/>
        <v>0</v>
      </c>
      <c r="C38" s="39"/>
      <c r="D38" s="37"/>
      <c r="E38" s="38"/>
      <c r="F38" s="36">
        <f t="shared" si="6"/>
        <v>0</v>
      </c>
      <c r="G38" s="30"/>
      <c r="H38" s="26">
        <v>43984</v>
      </c>
      <c r="I38" s="27">
        <v>200</v>
      </c>
      <c r="J38" s="51" t="s">
        <v>59</v>
      </c>
      <c r="K38" s="58" t="s">
        <v>60</v>
      </c>
      <c r="L38" s="55"/>
      <c r="M38" s="56"/>
      <c r="N38" s="56"/>
      <c r="O38" s="55"/>
    </row>
    <row r="39" s="1" customFormat="1" ht="18" customHeight="1" spans="1:15">
      <c r="A39" s="35"/>
      <c r="B39" s="21">
        <f t="shared" si="7"/>
        <v>0</v>
      </c>
      <c r="C39" s="39"/>
      <c r="D39" s="37"/>
      <c r="E39" s="38"/>
      <c r="F39" s="36">
        <f t="shared" si="6"/>
        <v>0</v>
      </c>
      <c r="G39" s="30"/>
      <c r="H39" s="26">
        <v>43984</v>
      </c>
      <c r="I39" s="27">
        <f>-(I50+I47+I43)</f>
        <v>-178666.95</v>
      </c>
      <c r="J39" s="51" t="s">
        <v>61</v>
      </c>
      <c r="K39" s="54" t="s">
        <v>62</v>
      </c>
      <c r="L39" s="55"/>
      <c r="M39" s="56"/>
      <c r="N39" s="56"/>
      <c r="O39" s="55"/>
    </row>
    <row r="40" s="1" customFormat="1" ht="18" customHeight="1" spans="1:15">
      <c r="A40" s="35"/>
      <c r="B40" s="21">
        <f t="shared" ref="B40:B64" si="8">ROUND(G40/(1+E40),2)</f>
        <v>0</v>
      </c>
      <c r="C40" s="39"/>
      <c r="D40" s="37"/>
      <c r="E40" s="38"/>
      <c r="F40" s="36">
        <f t="shared" si="6"/>
        <v>0</v>
      </c>
      <c r="G40" s="30"/>
      <c r="H40" s="26">
        <v>43984</v>
      </c>
      <c r="I40" s="27">
        <v>22048</v>
      </c>
      <c r="J40" s="51" t="s">
        <v>59</v>
      </c>
      <c r="K40" s="54" t="s">
        <v>63</v>
      </c>
      <c r="L40" s="55"/>
      <c r="M40" s="56"/>
      <c r="N40" s="56"/>
      <c r="O40" s="55"/>
    </row>
    <row r="41" s="1" customFormat="1" ht="18" customHeight="1" spans="1:15">
      <c r="A41" s="35"/>
      <c r="B41" s="21">
        <f t="shared" si="8"/>
        <v>0</v>
      </c>
      <c r="C41" s="39"/>
      <c r="D41" s="37"/>
      <c r="E41" s="38"/>
      <c r="F41" s="36">
        <f t="shared" ref="F41:F64" si="9">ROUND(G41/(1+E41)*E41,2)</f>
        <v>0</v>
      </c>
      <c r="G41" s="30"/>
      <c r="H41" s="26">
        <v>43972</v>
      </c>
      <c r="I41" s="27">
        <v>100</v>
      </c>
      <c r="J41" s="51" t="s">
        <v>59</v>
      </c>
      <c r="K41" s="54" t="s">
        <v>60</v>
      </c>
      <c r="L41" s="55"/>
      <c r="M41" s="56"/>
      <c r="N41" s="56"/>
      <c r="O41" s="55"/>
    </row>
    <row r="42" s="1" customFormat="1" ht="18" customHeight="1" spans="1:15">
      <c r="A42" s="35"/>
      <c r="B42" s="21">
        <f t="shared" si="8"/>
        <v>0</v>
      </c>
      <c r="C42" s="39"/>
      <c r="D42" s="37"/>
      <c r="E42" s="38"/>
      <c r="F42" s="36">
        <f t="shared" si="9"/>
        <v>0</v>
      </c>
      <c r="G42" s="30"/>
      <c r="H42" s="26">
        <v>43972</v>
      </c>
      <c r="I42" s="27">
        <v>9000</v>
      </c>
      <c r="J42" s="51" t="s">
        <v>59</v>
      </c>
      <c r="K42" s="54" t="s">
        <v>64</v>
      </c>
      <c r="L42" s="55"/>
      <c r="M42" s="56"/>
      <c r="N42" s="56"/>
      <c r="O42" s="55"/>
    </row>
    <row r="43" s="1" customFormat="1" ht="18" customHeight="1" spans="1:15">
      <c r="A43" s="35"/>
      <c r="B43" s="21">
        <f t="shared" si="8"/>
        <v>0</v>
      </c>
      <c r="C43" s="39"/>
      <c r="D43" s="37"/>
      <c r="E43" s="38"/>
      <c r="F43" s="36">
        <f t="shared" si="9"/>
        <v>0</v>
      </c>
      <c r="G43" s="30"/>
      <c r="H43" s="26">
        <v>43972</v>
      </c>
      <c r="I43" s="27">
        <v>156769.95</v>
      </c>
      <c r="J43" s="51" t="s">
        <v>65</v>
      </c>
      <c r="K43" s="54" t="s">
        <v>66</v>
      </c>
      <c r="L43" s="55"/>
      <c r="M43" s="56"/>
      <c r="N43" s="56"/>
      <c r="O43" s="55"/>
    </row>
    <row r="44" s="1" customFormat="1" ht="18" customHeight="1" spans="1:15">
      <c r="A44" s="35"/>
      <c r="B44" s="21">
        <f t="shared" si="8"/>
        <v>0</v>
      </c>
      <c r="C44" s="39"/>
      <c r="D44" s="37"/>
      <c r="E44" s="38"/>
      <c r="F44" s="36">
        <f t="shared" si="9"/>
        <v>0</v>
      </c>
      <c r="G44" s="30"/>
      <c r="H44" s="26">
        <v>43972</v>
      </c>
      <c r="I44" s="27">
        <f>K75</f>
        <v>665.513647706422</v>
      </c>
      <c r="J44" s="51" t="s">
        <v>59</v>
      </c>
      <c r="K44" s="54" t="s">
        <v>67</v>
      </c>
      <c r="L44" s="55"/>
      <c r="M44" s="56"/>
      <c r="N44" s="56"/>
      <c r="O44" s="55"/>
    </row>
    <row r="45" s="1" customFormat="1" ht="18" customHeight="1" spans="1:15">
      <c r="A45" s="35"/>
      <c r="B45" s="21">
        <f t="shared" si="8"/>
        <v>0</v>
      </c>
      <c r="C45" s="39"/>
      <c r="D45" s="37"/>
      <c r="E45" s="38"/>
      <c r="F45" s="36">
        <f t="shared" si="9"/>
        <v>0</v>
      </c>
      <c r="G45" s="30"/>
      <c r="H45" s="26">
        <v>43972</v>
      </c>
      <c r="I45" s="27">
        <f>B10*0.02</f>
        <v>22183.7882568807</v>
      </c>
      <c r="J45" s="51" t="s">
        <v>59</v>
      </c>
      <c r="K45" s="54" t="s">
        <v>68</v>
      </c>
      <c r="L45" s="55"/>
      <c r="M45" s="56"/>
      <c r="N45" s="56"/>
      <c r="O45" s="55"/>
    </row>
    <row r="46" s="1" customFormat="1" ht="18" customHeight="1" spans="1:15">
      <c r="A46" s="35"/>
      <c r="B46" s="21">
        <f t="shared" si="8"/>
        <v>0</v>
      </c>
      <c r="C46" s="39"/>
      <c r="D46" s="37"/>
      <c r="E46" s="38"/>
      <c r="F46" s="36">
        <f t="shared" si="9"/>
        <v>0</v>
      </c>
      <c r="G46" s="30"/>
      <c r="H46" s="26">
        <v>43900</v>
      </c>
      <c r="I46" s="27">
        <v>100</v>
      </c>
      <c r="J46" s="51" t="s">
        <v>59</v>
      </c>
      <c r="K46" s="54" t="s">
        <v>60</v>
      </c>
      <c r="L46" s="55"/>
      <c r="M46" s="56"/>
      <c r="N46" s="56"/>
      <c r="O46" s="55"/>
    </row>
    <row r="47" s="1" customFormat="1" ht="18" customHeight="1" spans="1:15">
      <c r="A47" s="35"/>
      <c r="B47" s="21">
        <f t="shared" si="8"/>
        <v>0</v>
      </c>
      <c r="C47" s="39"/>
      <c r="D47" s="37"/>
      <c r="E47" s="38"/>
      <c r="F47" s="36">
        <f t="shared" si="9"/>
        <v>0</v>
      </c>
      <c r="G47" s="30"/>
      <c r="H47" s="26">
        <v>43900</v>
      </c>
      <c r="I47" s="27">
        <v>-909920</v>
      </c>
      <c r="J47" s="51" t="s">
        <v>61</v>
      </c>
      <c r="K47" s="58" t="s">
        <v>69</v>
      </c>
      <c r="L47" s="55"/>
      <c r="M47" s="56"/>
      <c r="N47" s="56"/>
      <c r="O47" s="55"/>
    </row>
    <row r="48" s="1" customFormat="1" ht="18" customHeight="1" spans="1:15">
      <c r="A48" s="35"/>
      <c r="B48" s="21">
        <f t="shared" si="8"/>
        <v>0</v>
      </c>
      <c r="C48" s="39"/>
      <c r="D48" s="37"/>
      <c r="E48" s="38"/>
      <c r="F48" s="36">
        <f t="shared" si="9"/>
        <v>0</v>
      </c>
      <c r="G48" s="30"/>
      <c r="H48" s="26" t="s">
        <v>70</v>
      </c>
      <c r="I48" s="27">
        <v>200</v>
      </c>
      <c r="J48" s="51" t="s">
        <v>59</v>
      </c>
      <c r="K48" s="54" t="s">
        <v>60</v>
      </c>
      <c r="L48" s="55"/>
      <c r="M48" s="56"/>
      <c r="N48" s="56"/>
      <c r="O48" s="55"/>
    </row>
    <row r="49" s="1" customFormat="1" ht="18" customHeight="1" spans="1:15">
      <c r="A49" s="35"/>
      <c r="B49" s="21">
        <f t="shared" si="8"/>
        <v>0</v>
      </c>
      <c r="C49" s="39"/>
      <c r="D49" s="37"/>
      <c r="E49" s="74"/>
      <c r="F49" s="36">
        <f t="shared" si="9"/>
        <v>0</v>
      </c>
      <c r="G49" s="30"/>
      <c r="H49" s="26" t="s">
        <v>71</v>
      </c>
      <c r="I49" s="27">
        <v>150</v>
      </c>
      <c r="J49" s="51" t="s">
        <v>59</v>
      </c>
      <c r="K49" s="54" t="s">
        <v>60</v>
      </c>
      <c r="L49" s="55"/>
      <c r="M49" s="56"/>
      <c r="N49" s="56"/>
      <c r="O49" s="55"/>
    </row>
    <row r="50" s="1" customFormat="1" ht="18" customHeight="1" spans="1:15">
      <c r="A50" s="35"/>
      <c r="B50" s="21">
        <f t="shared" si="8"/>
        <v>0</v>
      </c>
      <c r="C50" s="39"/>
      <c r="D50" s="37"/>
      <c r="E50" s="74"/>
      <c r="F50" s="36">
        <f t="shared" si="9"/>
        <v>0</v>
      </c>
      <c r="G50" s="30"/>
      <c r="H50" s="26" t="s">
        <v>71</v>
      </c>
      <c r="I50" s="27">
        <v>931817</v>
      </c>
      <c r="J50" s="51" t="s">
        <v>65</v>
      </c>
      <c r="K50" s="54" t="s">
        <v>72</v>
      </c>
      <c r="L50" s="55"/>
      <c r="M50" s="56">
        <f>I50+I47+I43+I39</f>
        <v>0</v>
      </c>
      <c r="N50" s="56"/>
      <c r="O50" s="55"/>
    </row>
    <row r="51" s="1" customFormat="1" ht="18" customHeight="1" spans="1:15">
      <c r="A51" s="35"/>
      <c r="B51" s="21">
        <f t="shared" si="8"/>
        <v>0</v>
      </c>
      <c r="C51" s="39"/>
      <c r="D51" s="37"/>
      <c r="E51" s="74"/>
      <c r="F51" s="36">
        <f t="shared" si="9"/>
        <v>0</v>
      </c>
      <c r="G51" s="30"/>
      <c r="H51" s="26" t="s">
        <v>71</v>
      </c>
      <c r="I51" s="27">
        <v>91630</v>
      </c>
      <c r="J51" s="51" t="s">
        <v>59</v>
      </c>
      <c r="K51" s="54" t="s">
        <v>73</v>
      </c>
      <c r="L51" s="55"/>
      <c r="M51" s="56"/>
      <c r="N51" s="56"/>
      <c r="O51" s="55"/>
    </row>
    <row r="52" s="1" customFormat="1" ht="18" customHeight="1" spans="1:15">
      <c r="A52" s="35"/>
      <c r="B52" s="21">
        <f t="shared" si="8"/>
        <v>0</v>
      </c>
      <c r="C52" s="39"/>
      <c r="D52" s="37"/>
      <c r="E52" s="74"/>
      <c r="F52" s="36">
        <f t="shared" si="9"/>
        <v>0</v>
      </c>
      <c r="G52" s="30"/>
      <c r="H52" s="26" t="s">
        <v>71</v>
      </c>
      <c r="I52" s="27">
        <v>2522</v>
      </c>
      <c r="J52" s="51" t="s">
        <v>59</v>
      </c>
      <c r="K52" s="54" t="s">
        <v>67</v>
      </c>
      <c r="L52" s="55"/>
      <c r="M52" s="56"/>
      <c r="N52" s="56"/>
      <c r="O52" s="55"/>
    </row>
    <row r="53" s="1" customFormat="1" ht="18" customHeight="1" spans="1:15">
      <c r="A53" s="35"/>
      <c r="B53" s="21">
        <f t="shared" si="8"/>
        <v>0</v>
      </c>
      <c r="C53" s="39"/>
      <c r="D53" s="37"/>
      <c r="E53" s="74"/>
      <c r="F53" s="36">
        <f t="shared" si="9"/>
        <v>0</v>
      </c>
      <c r="G53" s="30"/>
      <c r="H53" s="26" t="s">
        <v>71</v>
      </c>
      <c r="I53" s="27">
        <v>200</v>
      </c>
      <c r="J53" s="51" t="s">
        <v>59</v>
      </c>
      <c r="K53" s="54" t="s">
        <v>60</v>
      </c>
      <c r="L53" s="55"/>
      <c r="M53" s="56"/>
      <c r="N53" s="56"/>
      <c r="O53" s="55"/>
    </row>
    <row r="54" s="1" customFormat="1" ht="18" customHeight="1" spans="1:15">
      <c r="A54" s="35"/>
      <c r="B54" s="21">
        <f t="shared" si="8"/>
        <v>0</v>
      </c>
      <c r="C54" s="39"/>
      <c r="D54" s="37"/>
      <c r="E54" s="74"/>
      <c r="F54" s="36">
        <f t="shared" si="9"/>
        <v>0</v>
      </c>
      <c r="G54" s="30"/>
      <c r="H54" s="26" t="s">
        <v>71</v>
      </c>
      <c r="I54" s="27">
        <v>9000</v>
      </c>
      <c r="J54" s="51" t="s">
        <v>59</v>
      </c>
      <c r="K54" s="54" t="s">
        <v>74</v>
      </c>
      <c r="L54" s="55"/>
      <c r="M54" s="56"/>
      <c r="N54" s="56"/>
      <c r="O54" s="55"/>
    </row>
    <row r="55" s="1" customFormat="1" ht="18" customHeight="1" spans="1:15">
      <c r="A55" s="35"/>
      <c r="B55" s="21">
        <f t="shared" si="8"/>
        <v>290682</v>
      </c>
      <c r="C55" s="39"/>
      <c r="D55" s="37"/>
      <c r="E55" s="74"/>
      <c r="F55" s="36">
        <f t="shared" si="9"/>
        <v>0</v>
      </c>
      <c r="G55" s="30">
        <v>290682</v>
      </c>
      <c r="H55" s="26" t="s">
        <v>71</v>
      </c>
      <c r="I55" s="27">
        <f>G55</f>
        <v>290682</v>
      </c>
      <c r="J55" s="51" t="s">
        <v>59</v>
      </c>
      <c r="K55" s="54" t="s">
        <v>75</v>
      </c>
      <c r="L55" s="55"/>
      <c r="M55" s="56"/>
      <c r="N55" s="56"/>
      <c r="O55" s="55"/>
    </row>
    <row r="56" s="1" customFormat="1" ht="18" customHeight="1" spans="1:15">
      <c r="A56" s="35"/>
      <c r="B56" s="21">
        <f t="shared" si="8"/>
        <v>0</v>
      </c>
      <c r="C56" s="39"/>
      <c r="D56" s="37"/>
      <c r="E56" s="74"/>
      <c r="F56" s="36">
        <f t="shared" si="9"/>
        <v>0</v>
      </c>
      <c r="G56" s="30"/>
      <c r="H56" s="26" t="s">
        <v>76</v>
      </c>
      <c r="I56" s="27">
        <v>3000</v>
      </c>
      <c r="J56" s="51" t="s">
        <v>59</v>
      </c>
      <c r="K56" s="54" t="s">
        <v>74</v>
      </c>
      <c r="L56" s="55"/>
      <c r="M56" s="56"/>
      <c r="N56" s="56"/>
      <c r="O56" s="55"/>
    </row>
    <row r="57" s="1" customFormat="1" ht="18" customHeight="1" spans="1:15">
      <c r="A57" s="35"/>
      <c r="B57" s="21">
        <f t="shared" si="8"/>
        <v>0</v>
      </c>
      <c r="C57" s="39"/>
      <c r="D57" s="37"/>
      <c r="E57" s="74"/>
      <c r="F57" s="36">
        <f t="shared" si="9"/>
        <v>0</v>
      </c>
      <c r="G57" s="30"/>
      <c r="H57" s="26" t="s">
        <v>76</v>
      </c>
      <c r="I57" s="27">
        <v>-563677</v>
      </c>
      <c r="J57" s="51" t="s">
        <v>61</v>
      </c>
      <c r="K57" s="54" t="s">
        <v>77</v>
      </c>
      <c r="L57" s="55"/>
      <c r="M57" s="56"/>
      <c r="N57" s="56"/>
      <c r="O57" s="55"/>
    </row>
    <row r="58" s="1" customFormat="1" ht="18" customHeight="1" spans="1:15">
      <c r="A58" s="35"/>
      <c r="B58" s="21">
        <f t="shared" si="8"/>
        <v>0</v>
      </c>
      <c r="C58" s="39"/>
      <c r="D58" s="37"/>
      <c r="E58" s="74"/>
      <c r="F58" s="36">
        <f t="shared" si="9"/>
        <v>0</v>
      </c>
      <c r="G58" s="30"/>
      <c r="H58" s="26" t="s">
        <v>76</v>
      </c>
      <c r="I58" s="27">
        <v>-181186</v>
      </c>
      <c r="J58" s="51" t="s">
        <v>78</v>
      </c>
      <c r="K58" s="54" t="s">
        <v>79</v>
      </c>
      <c r="L58" s="55"/>
      <c r="M58" s="56"/>
      <c r="N58" s="56"/>
      <c r="O58" s="55"/>
    </row>
    <row r="59" s="1" customFormat="1" ht="18" customHeight="1" spans="1:15">
      <c r="A59" s="35"/>
      <c r="B59" s="21">
        <f t="shared" si="8"/>
        <v>0</v>
      </c>
      <c r="C59" s="39"/>
      <c r="D59" s="37"/>
      <c r="E59" s="74"/>
      <c r="F59" s="21">
        <f t="shared" si="9"/>
        <v>0</v>
      </c>
      <c r="G59" s="30"/>
      <c r="H59" s="26" t="s">
        <v>76</v>
      </c>
      <c r="I59" s="27">
        <v>181186</v>
      </c>
      <c r="J59" s="51" t="s">
        <v>59</v>
      </c>
      <c r="K59" s="54" t="s">
        <v>63</v>
      </c>
      <c r="L59" s="55"/>
      <c r="M59" s="56"/>
      <c r="N59" s="56"/>
      <c r="O59" s="55"/>
    </row>
    <row r="60" s="1" customFormat="1" ht="18" customHeight="1" spans="1:15">
      <c r="A60" s="35"/>
      <c r="B60" s="21">
        <f t="shared" si="8"/>
        <v>0</v>
      </c>
      <c r="C60" s="39"/>
      <c r="D60" s="37"/>
      <c r="E60" s="74"/>
      <c r="F60" s="21">
        <f t="shared" si="9"/>
        <v>0</v>
      </c>
      <c r="G60" s="30"/>
      <c r="H60" s="26" t="s">
        <v>76</v>
      </c>
      <c r="I60" s="27">
        <v>563677</v>
      </c>
      <c r="J60" s="51" t="s">
        <v>65</v>
      </c>
      <c r="K60" s="54" t="s">
        <v>66</v>
      </c>
      <c r="L60" s="55"/>
      <c r="M60" s="56"/>
      <c r="N60" s="56"/>
      <c r="O60" s="55"/>
    </row>
    <row r="61" s="1" customFormat="1" ht="18" customHeight="1" spans="1:15">
      <c r="A61" s="35"/>
      <c r="B61" s="21">
        <f t="shared" si="8"/>
        <v>0</v>
      </c>
      <c r="C61" s="39"/>
      <c r="D61" s="37"/>
      <c r="E61" s="74"/>
      <c r="F61" s="21">
        <f t="shared" si="9"/>
        <v>0</v>
      </c>
      <c r="G61" s="30"/>
      <c r="H61" s="26" t="s">
        <v>76</v>
      </c>
      <c r="I61" s="27">
        <v>47062</v>
      </c>
      <c r="J61" s="51" t="s">
        <v>59</v>
      </c>
      <c r="K61" s="54" t="s">
        <v>80</v>
      </c>
      <c r="L61" s="55"/>
      <c r="M61" s="56"/>
      <c r="N61" s="56"/>
      <c r="O61" s="55"/>
    </row>
    <row r="62" s="1" customFormat="1" ht="18" customHeight="1" spans="1:15">
      <c r="A62" s="35"/>
      <c r="B62" s="21">
        <f t="shared" si="8"/>
        <v>0</v>
      </c>
      <c r="C62" s="39"/>
      <c r="D62" s="37"/>
      <c r="E62" s="74"/>
      <c r="F62" s="21">
        <f t="shared" si="9"/>
        <v>0</v>
      </c>
      <c r="G62" s="30"/>
      <c r="H62" s="26" t="s">
        <v>76</v>
      </c>
      <c r="I62" s="27">
        <v>1412</v>
      </c>
      <c r="J62" s="51" t="s">
        <v>59</v>
      </c>
      <c r="K62" s="54" t="s">
        <v>67</v>
      </c>
      <c r="L62" s="55"/>
      <c r="M62" s="56"/>
      <c r="N62" s="56"/>
      <c r="O62" s="55"/>
    </row>
    <row r="63" s="1" customFormat="1" ht="18" customHeight="1" spans="1:15">
      <c r="A63" s="35"/>
      <c r="B63" s="21">
        <f t="shared" si="8"/>
        <v>51296.82</v>
      </c>
      <c r="C63" s="39"/>
      <c r="D63" s="37"/>
      <c r="E63" s="74"/>
      <c r="F63" s="21">
        <f t="shared" si="9"/>
        <v>0</v>
      </c>
      <c r="G63" s="30">
        <f>I7*0.02</f>
        <v>51296.823</v>
      </c>
      <c r="H63" s="26" t="s">
        <v>76</v>
      </c>
      <c r="I63" s="27">
        <f>G63</f>
        <v>51296.823</v>
      </c>
      <c r="J63" s="51" t="s">
        <v>59</v>
      </c>
      <c r="K63" s="54" t="s">
        <v>81</v>
      </c>
      <c r="L63" s="55"/>
      <c r="M63" s="56"/>
      <c r="N63" s="56"/>
      <c r="O63" s="55"/>
    </row>
    <row r="64" s="111" customFormat="1" ht="45" customHeight="1" spans="1:15">
      <c r="A64" s="115"/>
      <c r="B64" s="116">
        <f t="shared" si="8"/>
        <v>0</v>
      </c>
      <c r="C64" s="117"/>
      <c r="D64" s="118"/>
      <c r="E64" s="119"/>
      <c r="F64" s="116">
        <f t="shared" si="9"/>
        <v>0</v>
      </c>
      <c r="G64" s="116"/>
      <c r="H64" s="120"/>
      <c r="I64" s="131"/>
      <c r="J64" s="132"/>
      <c r="K64" s="133" t="s">
        <v>82</v>
      </c>
      <c r="L64" s="134"/>
      <c r="M64" s="135"/>
      <c r="N64" s="135"/>
      <c r="O64" s="134"/>
    </row>
    <row r="65" ht="18" customHeight="1" spans="1:15">
      <c r="A65" s="113" t="s">
        <v>23</v>
      </c>
      <c r="B65" s="121">
        <f>SUM(B16:B64)</f>
        <v>7635495.34</v>
      </c>
      <c r="C65" s="113"/>
      <c r="D65" s="122"/>
      <c r="E65" s="122"/>
      <c r="F65" s="123">
        <f>SUM(F17:F64)</f>
        <v>280944.53</v>
      </c>
      <c r="G65" s="124">
        <f>SUM(G17:G64)</f>
        <v>7901050.823</v>
      </c>
      <c r="H65" s="125"/>
      <c r="I65" s="106">
        <f>SUM(I17:I64)</f>
        <v>8290804.12490459</v>
      </c>
      <c r="J65" s="136"/>
      <c r="K65" s="122"/>
      <c r="L65" s="52"/>
      <c r="M65" s="51"/>
      <c r="N65" s="51"/>
      <c r="O65" s="52"/>
    </row>
    <row r="66" ht="18" customHeight="1" spans="1:14">
      <c r="A66" s="79" t="s">
        <v>83</v>
      </c>
      <c r="B66" s="80">
        <f>B13*0.92</f>
        <v>7052203.12036697</v>
      </c>
      <c r="C66" s="79"/>
      <c r="D66" s="81"/>
      <c r="E66" s="81"/>
      <c r="F66" s="80">
        <f t="shared" ref="F66:I66" si="10">F13-F65</f>
        <v>255636.142201835</v>
      </c>
      <c r="G66" s="80">
        <f t="shared" si="10"/>
        <v>454276.787</v>
      </c>
      <c r="H66" s="25" t="s">
        <v>84</v>
      </c>
      <c r="I66" s="106">
        <f t="shared" si="10"/>
        <v>64523.4850954134</v>
      </c>
      <c r="J66" s="10"/>
      <c r="K66" s="107"/>
      <c r="M66" s="108"/>
      <c r="N66" s="108"/>
    </row>
    <row r="67" ht="18" customHeight="1" spans="1:14">
      <c r="A67" s="79" t="s">
        <v>85</v>
      </c>
      <c r="B67" s="80">
        <f>B66-B65</f>
        <v>-583292.219633029</v>
      </c>
      <c r="C67" s="79"/>
      <c r="D67" s="81"/>
      <c r="E67" s="81"/>
      <c r="F67" s="80"/>
      <c r="G67" s="80"/>
      <c r="H67" s="82"/>
      <c r="I67" s="80"/>
      <c r="J67" s="10"/>
      <c r="K67" s="107"/>
      <c r="M67" s="108"/>
      <c r="N67" s="108"/>
    </row>
    <row r="68" ht="18" customHeight="1" spans="1:18">
      <c r="A68" s="5" t="s">
        <v>86</v>
      </c>
      <c r="C68" s="5"/>
      <c r="R68" s="10">
        <f>I47+I50+I57+I60</f>
        <v>21897</v>
      </c>
    </row>
    <row r="69" ht="18" customHeight="1" spans="1:11">
      <c r="A69" s="25" t="s">
        <v>87</v>
      </c>
      <c r="B69" s="24" t="s">
        <v>88</v>
      </c>
      <c r="C69" s="52"/>
      <c r="D69" s="25" t="s">
        <v>87</v>
      </c>
      <c r="E69" s="23" t="s">
        <v>16</v>
      </c>
      <c r="F69" s="24" t="s">
        <v>88</v>
      </c>
      <c r="G69" s="6" t="s">
        <v>89</v>
      </c>
      <c r="H69" s="126" t="s">
        <v>90</v>
      </c>
      <c r="I69" s="126" t="s">
        <v>91</v>
      </c>
      <c r="K69" s="24" t="s">
        <v>92</v>
      </c>
    </row>
    <row r="70" ht="18" customHeight="1" spans="1:11">
      <c r="A70" s="52" t="s">
        <v>93</v>
      </c>
      <c r="B70" s="21">
        <f>(B66-B65)*0.25</f>
        <v>-145823.054908257</v>
      </c>
      <c r="C70" s="52"/>
      <c r="D70" s="32" t="s">
        <v>94</v>
      </c>
      <c r="E70" s="25" t="s">
        <v>95</v>
      </c>
      <c r="F70" s="123">
        <f>F13-F65</f>
        <v>255636.142201835</v>
      </c>
      <c r="G70" s="6">
        <f>F7</f>
        <v>164714.569266055</v>
      </c>
      <c r="H70" s="127">
        <f>F7</f>
        <v>164714.569266055</v>
      </c>
      <c r="I70" s="27">
        <f>F9-F19-F20</f>
        <v>223803.614036697</v>
      </c>
      <c r="K70" s="27">
        <f>F70-H70-I70+G81+I81</f>
        <v>20043.6288990826</v>
      </c>
    </row>
    <row r="71" ht="18" customHeight="1" spans="1:11">
      <c r="A71" s="52" t="s">
        <v>96</v>
      </c>
      <c r="B71" s="87" t="s">
        <v>97</v>
      </c>
      <c r="C71" s="52"/>
      <c r="D71" s="88" t="s">
        <v>98</v>
      </c>
      <c r="E71" s="17">
        <v>0.05</v>
      </c>
      <c r="F71" s="27">
        <f>F70*E71</f>
        <v>12781.8071100917</v>
      </c>
      <c r="G71" s="6">
        <f>G70*E71</f>
        <v>8235.72846330275</v>
      </c>
      <c r="H71" s="128">
        <f>H70*E71</f>
        <v>8235.72846330275</v>
      </c>
      <c r="I71" s="27">
        <f>I70*E71</f>
        <v>11190.1807018349</v>
      </c>
      <c r="K71" s="27">
        <f>K70*E71</f>
        <v>1002.18144495413</v>
      </c>
    </row>
    <row r="72" ht="18" customHeight="1" spans="1:11">
      <c r="A72" s="52" t="s">
        <v>67</v>
      </c>
      <c r="B72" s="87"/>
      <c r="C72" s="52"/>
      <c r="D72" s="88" t="s">
        <v>99</v>
      </c>
      <c r="E72" s="17">
        <v>0.03</v>
      </c>
      <c r="F72" s="27">
        <f>F70*E72</f>
        <v>7669.08426605504</v>
      </c>
      <c r="G72" s="6">
        <f>G70*E72</f>
        <v>4941.43707798165</v>
      </c>
      <c r="H72" s="128">
        <f>H70*E72</f>
        <v>4941.43707798165</v>
      </c>
      <c r="I72" s="27">
        <f>I70*E72</f>
        <v>6714.10842110092</v>
      </c>
      <c r="K72" s="27">
        <f>K70*E72</f>
        <v>601.308866972477</v>
      </c>
    </row>
    <row r="73" ht="18" customHeight="1" spans="1:11">
      <c r="A73" s="52"/>
      <c r="B73" s="27"/>
      <c r="C73" s="52"/>
      <c r="D73" s="88" t="s">
        <v>100</v>
      </c>
      <c r="E73" s="17">
        <v>0.02</v>
      </c>
      <c r="F73" s="27">
        <f>F70*E73</f>
        <v>5112.7228440367</v>
      </c>
      <c r="G73" s="6">
        <f>G70*E73</f>
        <v>3294.2913853211</v>
      </c>
      <c r="H73" s="128">
        <f>H70*E73</f>
        <v>3294.2913853211</v>
      </c>
      <c r="I73" s="27">
        <f>I70*E73</f>
        <v>4476.07228073394</v>
      </c>
      <c r="K73" s="27">
        <f>K70*E73</f>
        <v>400.872577981651</v>
      </c>
    </row>
    <row r="74" ht="18" customHeight="1" spans="1:11">
      <c r="A74" s="32" t="s">
        <v>101</v>
      </c>
      <c r="B74" s="121">
        <f t="shared" ref="B74:I74" si="11">SUM(B70:B73)</f>
        <v>-145823.054908257</v>
      </c>
      <c r="C74" s="52"/>
      <c r="D74" s="34" t="s">
        <v>101</v>
      </c>
      <c r="E74" s="32"/>
      <c r="F74" s="123">
        <f t="shared" si="11"/>
        <v>281199.756422018</v>
      </c>
      <c r="G74" s="6">
        <f t="shared" si="11"/>
        <v>181186.026192661</v>
      </c>
      <c r="H74" s="127">
        <f t="shared" si="11"/>
        <v>181186.026192661</v>
      </c>
      <c r="I74" s="27">
        <f t="shared" si="11"/>
        <v>246183.975440367</v>
      </c>
      <c r="K74" s="27">
        <f>SUM(K70:K73)</f>
        <v>22047.9917889908</v>
      </c>
    </row>
    <row r="75" ht="18" customHeight="1" spans="3:11">
      <c r="C75" s="5"/>
      <c r="D75" s="15" t="s">
        <v>67</v>
      </c>
      <c r="E75" s="129">
        <v>0.0006</v>
      </c>
      <c r="F75" s="27">
        <f>B13*E75</f>
        <v>4599.26290458716</v>
      </c>
      <c r="H75" s="27">
        <f>B7*E75</f>
        <v>1411.83916513761</v>
      </c>
      <c r="I75" s="27">
        <f>B9*0.0006</f>
        <v>2521.91009174312</v>
      </c>
      <c r="K75" s="70">
        <f>B10*E75</f>
        <v>665.513647706422</v>
      </c>
    </row>
    <row r="76" ht="18" customHeight="1" spans="3:11">
      <c r="C76" s="5"/>
      <c r="D76" s="23" t="s">
        <v>101</v>
      </c>
      <c r="E76" s="122"/>
      <c r="F76" s="106">
        <f>F75</f>
        <v>4599.26290458716</v>
      </c>
      <c r="H76" s="106">
        <f>H75</f>
        <v>1411.83916513761</v>
      </c>
      <c r="I76" s="27"/>
      <c r="K76" s="52"/>
    </row>
    <row r="77" ht="18" customHeight="1" spans="3:11">
      <c r="C77" s="5"/>
      <c r="D77" s="23" t="s">
        <v>23</v>
      </c>
      <c r="E77" s="113"/>
      <c r="F77" s="106">
        <f>F74+F76</f>
        <v>285799.019326605</v>
      </c>
      <c r="H77" s="106">
        <f>H74+H76</f>
        <v>182597.865357798</v>
      </c>
      <c r="I77" s="27"/>
      <c r="K77" s="52"/>
    </row>
    <row r="78" ht="18" customHeight="1" spans="3:11">
      <c r="C78" s="5"/>
      <c r="D78" s="113" t="s">
        <v>93</v>
      </c>
      <c r="E78" s="122">
        <v>0.02</v>
      </c>
      <c r="F78" s="106">
        <f>B13*E78</f>
        <v>153308.763486239</v>
      </c>
      <c r="G78" s="130" t="s">
        <v>102</v>
      </c>
      <c r="H78" s="106">
        <f>B7*E78</f>
        <v>47061.3055045872</v>
      </c>
      <c r="I78" s="52">
        <f>G9*E78</f>
        <v>91629.4</v>
      </c>
      <c r="K78" s="52">
        <f>B10*E78</f>
        <v>22183.7882568807</v>
      </c>
    </row>
    <row r="79" ht="18" customHeight="1" spans="3:7">
      <c r="C79" s="5"/>
      <c r="G79" s="130" t="s">
        <v>103</v>
      </c>
    </row>
    <row r="80" ht="18" customHeight="1" spans="3:9">
      <c r="C80" s="5"/>
      <c r="E80" s="25" t="s">
        <v>87</v>
      </c>
      <c r="F80" s="23" t="s">
        <v>16</v>
      </c>
      <c r="G80" s="24" t="s">
        <v>104</v>
      </c>
      <c r="H80" s="15"/>
      <c r="I80" s="27" t="s">
        <v>105</v>
      </c>
    </row>
    <row r="81" ht="18" customHeight="1" spans="3:9">
      <c r="C81" s="5"/>
      <c r="E81" s="32" t="s">
        <v>94</v>
      </c>
      <c r="F81" s="25" t="s">
        <v>95</v>
      </c>
      <c r="G81" s="123">
        <f>F17+F18</f>
        <v>115191.16</v>
      </c>
      <c r="H81" s="15"/>
      <c r="I81" s="27">
        <f>F23</f>
        <v>37734.51</v>
      </c>
    </row>
    <row r="82" spans="3:9">
      <c r="C82" s="5"/>
      <c r="E82" s="88" t="s">
        <v>98</v>
      </c>
      <c r="F82" s="17">
        <v>0.05</v>
      </c>
      <c r="G82" s="27">
        <f>G81*E71</f>
        <v>5759.558</v>
      </c>
      <c r="H82" s="15"/>
      <c r="I82" s="27">
        <f>I81*E71</f>
        <v>1886.7255</v>
      </c>
    </row>
    <row r="83" spans="3:9">
      <c r="C83" s="5"/>
      <c r="E83" s="88" t="s">
        <v>99</v>
      </c>
      <c r="F83" s="17">
        <v>0.03</v>
      </c>
      <c r="G83" s="27">
        <f>G81*E72</f>
        <v>3455.7348</v>
      </c>
      <c r="H83" s="15"/>
      <c r="I83" s="27">
        <f>I81*E72</f>
        <v>1132.0353</v>
      </c>
    </row>
    <row r="84" spans="3:9">
      <c r="C84" s="5"/>
      <c r="E84" s="88" t="s">
        <v>100</v>
      </c>
      <c r="F84" s="17">
        <v>0.02</v>
      </c>
      <c r="G84" s="27">
        <f>G81*E73</f>
        <v>2303.8232</v>
      </c>
      <c r="H84" s="15"/>
      <c r="I84" s="27">
        <f>I81*E73</f>
        <v>754.6902</v>
      </c>
    </row>
    <row r="85" spans="3:9">
      <c r="C85" s="5"/>
      <c r="E85" s="34" t="s">
        <v>101</v>
      </c>
      <c r="F85" s="32"/>
      <c r="G85" s="123">
        <f>SUM(G81:G84)</f>
        <v>126710.276</v>
      </c>
      <c r="H85" s="15"/>
      <c r="I85" s="137">
        <f>SUM(I81:I84)</f>
        <v>41507.961</v>
      </c>
    </row>
    <row r="86" spans="3:9">
      <c r="C86" s="5"/>
      <c r="G86" s="80" t="s">
        <v>106</v>
      </c>
      <c r="I86" s="80" t="s">
        <v>107</v>
      </c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</sheetData>
  <protectedRanges>
    <protectedRange sqref="I19" name="区域1"/>
  </protectedRanges>
  <autoFilter ref="A15:R9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topLeftCell="A52" workbookViewId="0">
      <selection activeCell="H13" sqref="H13"/>
    </sheetView>
  </sheetViews>
  <sheetFormatPr defaultColWidth="9" defaultRowHeight="11.25"/>
  <cols>
    <col min="1" max="1" width="10.75" style="5" customWidth="1"/>
    <col min="2" max="2" width="13.1333333333333" style="6" customWidth="1"/>
    <col min="3" max="3" width="6" style="7" customWidth="1"/>
    <col min="4" max="4" width="14.5" style="7" customWidth="1"/>
    <col min="5" max="5" width="6" style="7" customWidth="1"/>
    <col min="6" max="6" width="13.1333333333333" style="6" customWidth="1"/>
    <col min="7" max="7" width="15.5" style="6" customWidth="1"/>
    <col min="8" max="8" width="12.6333333333333" style="7" customWidth="1"/>
    <col min="9" max="9" width="13.8833333333333" style="6" customWidth="1"/>
    <col min="10" max="10" width="6.13333333333333" style="9" customWidth="1"/>
    <col min="11" max="11" width="31.5" style="10" customWidth="1"/>
    <col min="12" max="12" width="12.75" style="10" customWidth="1"/>
    <col min="13" max="13" width="8.38333333333333" style="10" customWidth="1"/>
    <col min="14" max="14" width="5.63333333333333" style="10" customWidth="1"/>
    <col min="15" max="15" width="9.63333333333333" style="10"/>
    <col min="16" max="17" width="9" style="10"/>
    <col min="18" max="18" width="10.3833333333333" style="10"/>
    <col min="19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2"/>
      <c r="L1" s="22"/>
    </row>
    <row r="2" ht="18" customHeight="1" spans="1:12">
      <c r="A2" s="13" t="s">
        <v>1</v>
      </c>
      <c r="B2" s="14">
        <v>43594</v>
      </c>
      <c r="C2" s="15" t="s">
        <v>2</v>
      </c>
      <c r="D2" s="16">
        <v>17098941</v>
      </c>
      <c r="E2" s="17" t="s">
        <v>3</v>
      </c>
      <c r="F2" s="18" t="s">
        <v>4</v>
      </c>
      <c r="G2" s="19" t="s">
        <v>5</v>
      </c>
      <c r="H2" s="112" t="s">
        <v>6</v>
      </c>
      <c r="I2" s="48"/>
      <c r="J2" s="49"/>
      <c r="K2" s="22"/>
      <c r="L2" s="22"/>
    </row>
    <row r="3" ht="18" customHeight="1" spans="1:12">
      <c r="A3" s="13" t="s">
        <v>7</v>
      </c>
      <c r="B3" s="21"/>
      <c r="C3" s="15" t="s">
        <v>8</v>
      </c>
      <c r="D3" s="15"/>
      <c r="H3" s="22"/>
      <c r="I3" s="50"/>
      <c r="J3" s="22"/>
      <c r="K3" s="22"/>
      <c r="L3" s="22"/>
    </row>
    <row r="4" ht="18" customHeight="1" spans="1:12">
      <c r="A4" s="5" t="s">
        <v>9</v>
      </c>
      <c r="H4" s="22"/>
      <c r="I4" s="50"/>
      <c r="J4" s="22"/>
      <c r="K4" s="22"/>
      <c r="L4" s="22"/>
    </row>
    <row r="5" ht="18" customHeight="1" spans="1:10">
      <c r="A5" s="23" t="s">
        <v>10</v>
      </c>
      <c r="B5" s="24" t="s">
        <v>11</v>
      </c>
      <c r="C5" s="23" t="s">
        <v>12</v>
      </c>
      <c r="D5" s="23"/>
      <c r="E5" s="23" t="s">
        <v>13</v>
      </c>
      <c r="F5" s="24"/>
      <c r="G5" s="24" t="s">
        <v>14</v>
      </c>
      <c r="H5" s="25" t="s">
        <v>15</v>
      </c>
      <c r="I5" s="24"/>
      <c r="J5" s="25"/>
    </row>
    <row r="6" ht="18" customHeight="1" spans="1:10">
      <c r="A6" s="23"/>
      <c r="B6" s="24"/>
      <c r="C6" s="23" t="s">
        <v>16</v>
      </c>
      <c r="D6" s="23" t="s">
        <v>17</v>
      </c>
      <c r="E6" s="23" t="s">
        <v>16</v>
      </c>
      <c r="F6" s="24" t="s">
        <v>17</v>
      </c>
      <c r="G6" s="24"/>
      <c r="H6" s="25" t="s">
        <v>18</v>
      </c>
      <c r="I6" s="24" t="s">
        <v>19</v>
      </c>
      <c r="J6" s="25" t="s">
        <v>20</v>
      </c>
    </row>
    <row r="7" ht="18" customHeight="1" spans="1:10">
      <c r="A7" s="26">
        <v>43679</v>
      </c>
      <c r="B7" s="27">
        <f t="shared" ref="B7:B12" si="0">G7/(1+C7+E7)</f>
        <v>2353065.27522936</v>
      </c>
      <c r="C7" s="28">
        <v>0.02</v>
      </c>
      <c r="D7" s="29">
        <f t="shared" ref="D7:D12" si="1">G7/(1+E7+C7)*C7</f>
        <v>47061.3055045872</v>
      </c>
      <c r="E7" s="28">
        <v>0.07</v>
      </c>
      <c r="F7" s="27">
        <f t="shared" ref="F7:F12" si="2">G7/(1+C7+E7)*E7</f>
        <v>164714.569266055</v>
      </c>
      <c r="G7" s="30">
        <v>2564841.15</v>
      </c>
      <c r="H7" s="26">
        <v>43682</v>
      </c>
      <c r="I7" s="27">
        <v>2564841.15</v>
      </c>
      <c r="J7" s="51" t="s">
        <v>21</v>
      </c>
    </row>
    <row r="8" ht="18" customHeight="1" spans="1:10">
      <c r="A8" s="26"/>
      <c r="B8" s="27"/>
      <c r="C8" s="28"/>
      <c r="D8" s="29"/>
      <c r="E8" s="28"/>
      <c r="F8" s="27"/>
      <c r="G8" s="30"/>
      <c r="H8" s="26">
        <v>43850</v>
      </c>
      <c r="I8" s="27">
        <v>3665176</v>
      </c>
      <c r="J8" s="51" t="s">
        <v>21</v>
      </c>
    </row>
    <row r="9" ht="18" customHeight="1" spans="1:10">
      <c r="A9" s="26">
        <v>43838</v>
      </c>
      <c r="B9" s="27">
        <f t="shared" si="0"/>
        <v>4203183.48623853</v>
      </c>
      <c r="C9" s="28">
        <v>0.02</v>
      </c>
      <c r="D9" s="29">
        <f t="shared" si="1"/>
        <v>84063.6697247706</v>
      </c>
      <c r="E9" s="31">
        <v>0.07</v>
      </c>
      <c r="F9" s="27">
        <f t="shared" si="2"/>
        <v>294222.844036697</v>
      </c>
      <c r="G9" s="30">
        <v>4581470</v>
      </c>
      <c r="H9" s="26">
        <v>43850</v>
      </c>
      <c r="I9" s="27">
        <v>916294</v>
      </c>
      <c r="J9" s="51" t="s">
        <v>22</v>
      </c>
    </row>
    <row r="10" ht="18" customHeight="1" spans="1:10">
      <c r="A10" s="26">
        <v>43962</v>
      </c>
      <c r="B10" s="27">
        <f t="shared" si="0"/>
        <v>1109189.41284404</v>
      </c>
      <c r="C10" s="31">
        <v>0.02</v>
      </c>
      <c r="D10" s="29">
        <f t="shared" si="1"/>
        <v>22183.7882568807</v>
      </c>
      <c r="E10" s="31">
        <v>0.07</v>
      </c>
      <c r="F10" s="27">
        <f t="shared" si="2"/>
        <v>77643.2588990826</v>
      </c>
      <c r="G10" s="30">
        <v>1209016.46</v>
      </c>
      <c r="H10" s="26">
        <v>43971</v>
      </c>
      <c r="I10" s="27">
        <v>1209016.46</v>
      </c>
      <c r="J10" s="51" t="s">
        <v>21</v>
      </c>
    </row>
    <row r="11" ht="18" customHeight="1" spans="1:10">
      <c r="A11" s="26"/>
      <c r="B11" s="27">
        <f t="shared" si="0"/>
        <v>0</v>
      </c>
      <c r="C11" s="31">
        <v>0.02</v>
      </c>
      <c r="D11" s="29">
        <f t="shared" si="1"/>
        <v>0</v>
      </c>
      <c r="E11" s="31">
        <v>0.07</v>
      </c>
      <c r="F11" s="27">
        <f t="shared" si="2"/>
        <v>0</v>
      </c>
      <c r="G11" s="30"/>
      <c r="H11" s="26"/>
      <c r="I11" s="27"/>
      <c r="J11" s="51"/>
    </row>
    <row r="12" ht="18" customHeight="1" spans="1:10">
      <c r="A12" s="26"/>
      <c r="B12" s="27">
        <f t="shared" si="0"/>
        <v>0</v>
      </c>
      <c r="C12" s="28">
        <v>0.02</v>
      </c>
      <c r="D12" s="29">
        <f t="shared" si="1"/>
        <v>0</v>
      </c>
      <c r="E12" s="31">
        <v>0.07</v>
      </c>
      <c r="F12" s="27">
        <f t="shared" si="2"/>
        <v>0</v>
      </c>
      <c r="G12" s="30"/>
      <c r="H12" s="26"/>
      <c r="I12" s="27"/>
      <c r="J12" s="51"/>
    </row>
    <row r="13" ht="18" customHeight="1" spans="1:10">
      <c r="A13" s="32" t="s">
        <v>23</v>
      </c>
      <c r="B13" s="121">
        <f t="shared" ref="B13:G13" si="3">SUM(B7:B12)</f>
        <v>7665438.17431193</v>
      </c>
      <c r="C13" s="113"/>
      <c r="D13" s="106">
        <f t="shared" si="3"/>
        <v>153308.763486239</v>
      </c>
      <c r="E13" s="113"/>
      <c r="F13" s="123">
        <f t="shared" si="3"/>
        <v>536580.672201835</v>
      </c>
      <c r="G13" s="106">
        <f t="shared" si="3"/>
        <v>8355327.61</v>
      </c>
      <c r="H13" s="52"/>
      <c r="I13" s="106">
        <f>SUM(I7:I12)</f>
        <v>8355327.61</v>
      </c>
      <c r="J13" s="52"/>
    </row>
    <row r="14" ht="18" customHeight="1" spans="1:12">
      <c r="A14" s="5" t="s">
        <v>24</v>
      </c>
      <c r="J14" s="7"/>
      <c r="K14" s="7"/>
      <c r="L14" s="9"/>
    </row>
    <row r="15" ht="18" customHeight="1" spans="1:15">
      <c r="A15" s="34" t="s">
        <v>25</v>
      </c>
      <c r="B15" s="24" t="s">
        <v>26</v>
      </c>
      <c r="C15" s="23" t="s">
        <v>27</v>
      </c>
      <c r="D15" s="23" t="s">
        <v>28</v>
      </c>
      <c r="E15" s="23" t="s">
        <v>16</v>
      </c>
      <c r="F15" s="24" t="s">
        <v>29</v>
      </c>
      <c r="G15" s="24" t="s">
        <v>14</v>
      </c>
      <c r="H15" s="23" t="s">
        <v>30</v>
      </c>
      <c r="I15" s="24" t="s">
        <v>31</v>
      </c>
      <c r="J15" s="23" t="s">
        <v>20</v>
      </c>
      <c r="K15" s="53" t="s">
        <v>32</v>
      </c>
      <c r="L15" s="25" t="s">
        <v>33</v>
      </c>
      <c r="M15" s="25" t="s">
        <v>34</v>
      </c>
      <c r="N15" s="25" t="s">
        <v>35</v>
      </c>
      <c r="O15" s="25" t="s">
        <v>36</v>
      </c>
    </row>
    <row r="16" customFormat="1" ht="18" customHeight="1" spans="1:15">
      <c r="A16" s="35">
        <v>43647</v>
      </c>
      <c r="B16" s="36">
        <f t="shared" ref="B16:B34" si="4">ROUND(G16/(1+E16),2)</f>
        <v>15389.05</v>
      </c>
      <c r="C16" s="23"/>
      <c r="D16" s="37" t="s">
        <v>37</v>
      </c>
      <c r="E16" s="38"/>
      <c r="F16" s="36">
        <f t="shared" ref="F16:F34" si="5">ROUND(G16/(1+E16)*E16,2)</f>
        <v>0</v>
      </c>
      <c r="G16" s="30">
        <v>15389.05</v>
      </c>
      <c r="H16" s="23"/>
      <c r="I16" s="24"/>
      <c r="J16" s="23"/>
      <c r="K16" s="53"/>
      <c r="L16" s="25"/>
      <c r="M16" s="25"/>
      <c r="N16" s="25"/>
      <c r="O16" s="25"/>
    </row>
    <row r="17" s="1" customFormat="1" ht="18" customHeight="1" spans="1:15">
      <c r="A17" s="35">
        <v>43678</v>
      </c>
      <c r="B17" s="36">
        <f t="shared" si="4"/>
        <v>619469.03</v>
      </c>
      <c r="C17" s="39"/>
      <c r="D17" s="37" t="s">
        <v>38</v>
      </c>
      <c r="E17" s="38">
        <v>0.13</v>
      </c>
      <c r="F17" s="36">
        <f t="shared" si="5"/>
        <v>80530.97</v>
      </c>
      <c r="G17" s="30">
        <v>700000</v>
      </c>
      <c r="H17" s="26">
        <v>43683</v>
      </c>
      <c r="I17" s="27">
        <v>700000</v>
      </c>
      <c r="J17" s="51" t="s">
        <v>21</v>
      </c>
      <c r="K17" s="54" t="s">
        <v>39</v>
      </c>
      <c r="L17" s="55" t="s">
        <v>40</v>
      </c>
      <c r="M17" s="56" t="s">
        <v>41</v>
      </c>
      <c r="N17" s="56" t="s">
        <v>42</v>
      </c>
      <c r="O17" s="55"/>
    </row>
    <row r="18" s="1" customFormat="1" ht="18" customHeight="1" spans="1:15">
      <c r="A18" s="35">
        <v>43678</v>
      </c>
      <c r="B18" s="36">
        <f t="shared" si="4"/>
        <v>1155339.81</v>
      </c>
      <c r="C18" s="39"/>
      <c r="D18" s="37" t="s">
        <v>38</v>
      </c>
      <c r="E18" s="38">
        <v>0.03</v>
      </c>
      <c r="F18" s="36">
        <f t="shared" si="5"/>
        <v>34660.19</v>
      </c>
      <c r="G18" s="30">
        <v>1190000</v>
      </c>
      <c r="H18" s="26">
        <v>43683</v>
      </c>
      <c r="I18" s="27">
        <v>1190000</v>
      </c>
      <c r="J18" s="51" t="s">
        <v>21</v>
      </c>
      <c r="K18" s="54" t="s">
        <v>43</v>
      </c>
      <c r="L18" s="55" t="s">
        <v>44</v>
      </c>
      <c r="M18" s="56"/>
      <c r="N18" s="56"/>
      <c r="O18" s="55"/>
    </row>
    <row r="19" s="1" customFormat="1" ht="18" customHeight="1" spans="1:15">
      <c r="A19" s="35">
        <v>43709</v>
      </c>
      <c r="B19" s="21">
        <f t="shared" si="4"/>
        <v>487699.12</v>
      </c>
      <c r="C19" s="39"/>
      <c r="D19" s="37" t="s">
        <v>38</v>
      </c>
      <c r="E19" s="38">
        <v>0.13</v>
      </c>
      <c r="F19" s="36">
        <f t="shared" si="5"/>
        <v>63400.88</v>
      </c>
      <c r="G19" s="30">
        <f>95700+99000*2+66000+92400+99000</f>
        <v>551100</v>
      </c>
      <c r="H19" s="26">
        <v>43718</v>
      </c>
      <c r="I19" s="57">
        <v>551100</v>
      </c>
      <c r="J19" s="51" t="s">
        <v>21</v>
      </c>
      <c r="K19" s="54" t="s">
        <v>39</v>
      </c>
      <c r="L19" s="55" t="s">
        <v>45</v>
      </c>
      <c r="M19" s="56" t="s">
        <v>41</v>
      </c>
      <c r="N19" s="56" t="s">
        <v>46</v>
      </c>
      <c r="O19" s="55"/>
    </row>
    <row r="20" s="1" customFormat="1" ht="18" customHeight="1" spans="1:15">
      <c r="A20" s="35">
        <v>43709</v>
      </c>
      <c r="B20" s="21">
        <f t="shared" si="4"/>
        <v>77981.65</v>
      </c>
      <c r="C20" s="39"/>
      <c r="D20" s="37" t="s">
        <v>38</v>
      </c>
      <c r="E20" s="38">
        <v>0.09</v>
      </c>
      <c r="F20" s="36">
        <f t="shared" si="5"/>
        <v>7018.35</v>
      </c>
      <c r="G20" s="30">
        <v>85000</v>
      </c>
      <c r="H20" s="26"/>
      <c r="I20" s="27"/>
      <c r="J20" s="51"/>
      <c r="K20" s="58" t="s">
        <v>47</v>
      </c>
      <c r="L20" s="55" t="s">
        <v>48</v>
      </c>
      <c r="M20" s="56"/>
      <c r="N20" s="56"/>
      <c r="O20" s="55"/>
    </row>
    <row r="21" s="1" customFormat="1" ht="18" customHeight="1" spans="1:15">
      <c r="A21" s="35"/>
      <c r="B21" s="21">
        <f t="shared" si="4"/>
        <v>0</v>
      </c>
      <c r="C21" s="39"/>
      <c r="D21" s="37"/>
      <c r="E21" s="38"/>
      <c r="F21" s="36">
        <f t="shared" si="5"/>
        <v>0</v>
      </c>
      <c r="G21" s="30"/>
      <c r="H21" s="26">
        <v>43851</v>
      </c>
      <c r="I21" s="27">
        <v>85000</v>
      </c>
      <c r="J21" s="51" t="s">
        <v>21</v>
      </c>
      <c r="K21" s="58" t="s">
        <v>49</v>
      </c>
      <c r="L21" s="55" t="s">
        <v>48</v>
      </c>
      <c r="M21" s="56"/>
      <c r="N21" s="56"/>
      <c r="O21" s="55"/>
    </row>
    <row r="22" s="1" customFormat="1" ht="18" customHeight="1" spans="1:15">
      <c r="A22" s="35">
        <v>43891</v>
      </c>
      <c r="B22" s="21">
        <f t="shared" si="4"/>
        <v>387610.62</v>
      </c>
      <c r="C22" s="39"/>
      <c r="D22" s="37" t="s">
        <v>38</v>
      </c>
      <c r="E22" s="38">
        <v>0.13</v>
      </c>
      <c r="F22" s="36">
        <f t="shared" si="5"/>
        <v>50389.38</v>
      </c>
      <c r="G22" s="30">
        <f>83422.36+92199+62519.24+99995.4+99864</f>
        <v>438000</v>
      </c>
      <c r="H22" s="26">
        <v>43852</v>
      </c>
      <c r="I22" s="27">
        <v>438000</v>
      </c>
      <c r="J22" s="51" t="s">
        <v>21</v>
      </c>
      <c r="K22" s="58" t="s">
        <v>50</v>
      </c>
      <c r="L22" s="55" t="s">
        <v>51</v>
      </c>
      <c r="M22" s="56"/>
      <c r="N22" s="69" t="s">
        <v>114</v>
      </c>
      <c r="O22" s="55"/>
    </row>
    <row r="23" s="1" customFormat="1" ht="18" customHeight="1" spans="1:15">
      <c r="A23" s="41">
        <v>43831</v>
      </c>
      <c r="B23" s="36">
        <f t="shared" si="4"/>
        <v>290265.49</v>
      </c>
      <c r="C23" s="42"/>
      <c r="D23" s="43" t="s">
        <v>38</v>
      </c>
      <c r="E23" s="38">
        <v>0.13</v>
      </c>
      <c r="F23" s="36">
        <f t="shared" si="5"/>
        <v>37734.51</v>
      </c>
      <c r="G23" s="30">
        <f>73800+82000+90200+82000</f>
        <v>328000</v>
      </c>
      <c r="H23" s="26">
        <v>43852</v>
      </c>
      <c r="I23" s="27">
        <v>328000</v>
      </c>
      <c r="J23" s="51" t="s">
        <v>21</v>
      </c>
      <c r="K23" s="58" t="s">
        <v>39</v>
      </c>
      <c r="L23" s="55" t="s">
        <v>52</v>
      </c>
      <c r="M23" s="56" t="s">
        <v>41</v>
      </c>
      <c r="N23" s="56" t="s">
        <v>41</v>
      </c>
      <c r="O23" s="55"/>
    </row>
    <row r="24" s="1" customFormat="1" ht="18" customHeight="1" spans="1:15">
      <c r="A24" s="35"/>
      <c r="B24" s="21">
        <f t="shared" si="4"/>
        <v>0</v>
      </c>
      <c r="C24" s="39"/>
      <c r="D24" s="37"/>
      <c r="E24" s="38"/>
      <c r="F24" s="36">
        <f t="shared" si="5"/>
        <v>0</v>
      </c>
      <c r="G24" s="30"/>
      <c r="H24" s="26">
        <v>43852</v>
      </c>
      <c r="I24" s="27">
        <v>916294</v>
      </c>
      <c r="J24" s="51" t="s">
        <v>22</v>
      </c>
      <c r="K24" s="58" t="s">
        <v>53</v>
      </c>
      <c r="L24" s="55" t="s">
        <v>54</v>
      </c>
      <c r="M24" s="56">
        <v>5138695.06</v>
      </c>
      <c r="N24" s="56"/>
      <c r="O24" s="55"/>
    </row>
    <row r="25" s="1" customFormat="1" ht="18" customHeight="1" spans="1:15">
      <c r="A25" s="35">
        <v>43891</v>
      </c>
      <c r="B25" s="21">
        <f t="shared" si="4"/>
        <v>2721460</v>
      </c>
      <c r="C25" s="39"/>
      <c r="D25" s="37" t="s">
        <v>37</v>
      </c>
      <c r="E25" s="38"/>
      <c r="F25" s="36">
        <f t="shared" si="5"/>
        <v>0</v>
      </c>
      <c r="G25" s="30">
        <f>100000*27+21460</f>
        <v>2721460</v>
      </c>
      <c r="H25" s="26">
        <v>43852</v>
      </c>
      <c r="I25" s="27">
        <v>980000</v>
      </c>
      <c r="J25" s="51" t="s">
        <v>21</v>
      </c>
      <c r="K25" s="58" t="s">
        <v>53</v>
      </c>
      <c r="L25" s="55" t="s">
        <v>54</v>
      </c>
      <c r="M25" s="56" t="s">
        <v>41</v>
      </c>
      <c r="N25" s="56"/>
      <c r="O25" s="55"/>
    </row>
    <row r="26" s="1" customFormat="1" ht="18" customHeight="1" spans="1:15">
      <c r="A26" s="35">
        <v>43891</v>
      </c>
      <c r="B26" s="21">
        <f t="shared" si="4"/>
        <v>240341.75</v>
      </c>
      <c r="C26" s="39"/>
      <c r="D26" s="37" t="s">
        <v>38</v>
      </c>
      <c r="E26" s="38">
        <v>0.03</v>
      </c>
      <c r="F26" s="36">
        <f t="shared" si="5"/>
        <v>7210.25</v>
      </c>
      <c r="G26" s="30">
        <f>7552+10000*24</f>
        <v>247552</v>
      </c>
      <c r="H26" s="26">
        <v>43852</v>
      </c>
      <c r="I26" s="27">
        <v>527552</v>
      </c>
      <c r="J26" s="51" t="s">
        <v>21</v>
      </c>
      <c r="K26" s="54" t="s">
        <v>43</v>
      </c>
      <c r="L26" s="55" t="s">
        <v>44</v>
      </c>
      <c r="M26" s="56"/>
      <c r="N26" s="56"/>
      <c r="O26" s="55"/>
    </row>
    <row r="27" s="1" customFormat="1" ht="18" customHeight="1" spans="1:15">
      <c r="A27" s="35"/>
      <c r="B27" s="21">
        <f t="shared" si="4"/>
        <v>0</v>
      </c>
      <c r="C27" s="39"/>
      <c r="D27" s="37"/>
      <c r="E27" s="38"/>
      <c r="F27" s="36">
        <f t="shared" si="5"/>
        <v>0</v>
      </c>
      <c r="G27" s="30"/>
      <c r="H27" s="26">
        <v>43900</v>
      </c>
      <c r="I27" s="27">
        <v>823772</v>
      </c>
      <c r="J27" s="51" t="s">
        <v>21</v>
      </c>
      <c r="K27" s="58" t="s">
        <v>53</v>
      </c>
      <c r="L27" s="55" t="s">
        <v>54</v>
      </c>
      <c r="M27" s="56" t="s">
        <v>41</v>
      </c>
      <c r="N27" s="56"/>
      <c r="O27" s="55"/>
    </row>
    <row r="28" s="1" customFormat="1" ht="18" customHeight="1" spans="1:15">
      <c r="A28" s="35"/>
      <c r="B28" s="21">
        <f t="shared" si="4"/>
        <v>0</v>
      </c>
      <c r="C28" s="39"/>
      <c r="D28" s="37"/>
      <c r="E28" s="38"/>
      <c r="F28" s="36">
        <f t="shared" si="5"/>
        <v>0</v>
      </c>
      <c r="G28" s="30"/>
      <c r="H28" s="26">
        <v>43972</v>
      </c>
      <c r="I28" s="27">
        <v>901394</v>
      </c>
      <c r="J28" s="51" t="s">
        <v>21</v>
      </c>
      <c r="K28" s="58" t="s">
        <v>53</v>
      </c>
      <c r="L28" s="55" t="s">
        <v>54</v>
      </c>
      <c r="M28" s="56" t="s">
        <v>41</v>
      </c>
      <c r="N28" s="56"/>
      <c r="O28" s="55"/>
    </row>
    <row r="29" s="1" customFormat="1" ht="18" customHeight="1" spans="1:15">
      <c r="A29" s="35"/>
      <c r="B29" s="21">
        <f t="shared" si="4"/>
        <v>0</v>
      </c>
      <c r="C29" s="39"/>
      <c r="D29" s="37"/>
      <c r="E29" s="38"/>
      <c r="F29" s="36">
        <f t="shared" si="5"/>
        <v>0</v>
      </c>
      <c r="G29" s="30"/>
      <c r="H29" s="26"/>
      <c r="I29" s="27"/>
      <c r="J29" s="51" t="s">
        <v>21</v>
      </c>
      <c r="K29" s="58" t="s">
        <v>39</v>
      </c>
      <c r="L29" s="55" t="s">
        <v>55</v>
      </c>
      <c r="M29" s="56"/>
      <c r="N29" s="56"/>
      <c r="O29" s="55"/>
    </row>
    <row r="30" s="1" customFormat="1" ht="18" customHeight="1" spans="1:15">
      <c r="A30" s="35">
        <v>43972</v>
      </c>
      <c r="B30" s="21">
        <f t="shared" si="4"/>
        <v>900000</v>
      </c>
      <c r="C30" s="39"/>
      <c r="D30" s="37" t="s">
        <v>37</v>
      </c>
      <c r="E30" s="38"/>
      <c r="F30" s="36">
        <f t="shared" si="5"/>
        <v>0</v>
      </c>
      <c r="G30" s="30">
        <v>900000</v>
      </c>
      <c r="H30" s="26"/>
      <c r="I30" s="27"/>
      <c r="J30" s="51"/>
      <c r="K30" s="58" t="s">
        <v>53</v>
      </c>
      <c r="L30" s="55" t="s">
        <v>54</v>
      </c>
      <c r="M30" s="56"/>
      <c r="N30" s="56"/>
      <c r="O30" s="55"/>
    </row>
    <row r="31" s="1" customFormat="1" ht="18" customHeight="1" spans="1:15">
      <c r="A31" s="35">
        <v>43983</v>
      </c>
      <c r="B31" s="21">
        <f t="shared" si="4"/>
        <v>198320</v>
      </c>
      <c r="C31" s="39"/>
      <c r="D31" s="37" t="s">
        <v>56</v>
      </c>
      <c r="E31" s="38"/>
      <c r="F31" s="36">
        <f t="shared" si="5"/>
        <v>0</v>
      </c>
      <c r="G31" s="30">
        <v>198320</v>
      </c>
      <c r="H31" s="26">
        <v>43984</v>
      </c>
      <c r="I31" s="27">
        <v>198320</v>
      </c>
      <c r="J31" s="51" t="s">
        <v>57</v>
      </c>
      <c r="K31" s="58" t="s">
        <v>58</v>
      </c>
      <c r="L31" s="55" t="s">
        <v>110</v>
      </c>
      <c r="M31" s="56"/>
      <c r="N31" s="69" t="s">
        <v>114</v>
      </c>
      <c r="O31" s="55"/>
    </row>
    <row r="32" s="1" customFormat="1" ht="18" customHeight="1" spans="1:15">
      <c r="A32" s="35">
        <v>44013</v>
      </c>
      <c r="B32" s="21">
        <f t="shared" si="4"/>
        <v>199640</v>
      </c>
      <c r="C32" s="39"/>
      <c r="D32" s="37" t="s">
        <v>108</v>
      </c>
      <c r="E32" s="38"/>
      <c r="F32" s="36">
        <f t="shared" si="5"/>
        <v>0</v>
      </c>
      <c r="G32" s="30">
        <f>49910*4</f>
        <v>199640</v>
      </c>
      <c r="H32" s="45"/>
      <c r="I32" s="65"/>
      <c r="J32" s="66"/>
      <c r="K32" s="67" t="s">
        <v>109</v>
      </c>
      <c r="L32" s="68" t="s">
        <v>110</v>
      </c>
      <c r="M32" s="56" t="s">
        <v>41</v>
      </c>
      <c r="N32" s="56" t="s">
        <v>41</v>
      </c>
      <c r="O32" s="55"/>
    </row>
    <row r="33" s="1" customFormat="1" ht="18" customHeight="1" spans="1:15">
      <c r="A33" s="35"/>
      <c r="B33" s="21">
        <f t="shared" si="4"/>
        <v>0</v>
      </c>
      <c r="C33" s="39"/>
      <c r="D33" s="37"/>
      <c r="E33" s="38"/>
      <c r="F33" s="36">
        <f t="shared" si="5"/>
        <v>0</v>
      </c>
      <c r="G33" s="30"/>
      <c r="H33" s="45">
        <v>44020</v>
      </c>
      <c r="I33" s="65">
        <v>49910</v>
      </c>
      <c r="J33" s="66" t="s">
        <v>57</v>
      </c>
      <c r="K33" s="67" t="s">
        <v>111</v>
      </c>
      <c r="L33" s="68"/>
      <c r="M33" s="56"/>
      <c r="N33" s="69"/>
      <c r="O33" s="55"/>
    </row>
    <row r="34" s="1" customFormat="1" ht="18" customHeight="1" spans="1:15">
      <c r="A34" s="35"/>
      <c r="B34" s="21">
        <f t="shared" si="4"/>
        <v>0</v>
      </c>
      <c r="C34" s="39"/>
      <c r="D34" s="37"/>
      <c r="E34" s="38"/>
      <c r="F34" s="36">
        <f t="shared" si="5"/>
        <v>0</v>
      </c>
      <c r="G34" s="30"/>
      <c r="H34" s="45">
        <v>44020</v>
      </c>
      <c r="I34" s="65">
        <v>49910</v>
      </c>
      <c r="J34" s="66" t="s">
        <v>57</v>
      </c>
      <c r="K34" s="67" t="s">
        <v>112</v>
      </c>
      <c r="L34" s="68"/>
      <c r="M34" s="56"/>
      <c r="N34" s="69"/>
      <c r="O34" s="55"/>
    </row>
    <row r="35" s="1" customFormat="1" ht="18" customHeight="1" spans="1:15">
      <c r="A35" s="35"/>
      <c r="B35" s="21">
        <f t="shared" ref="B35:B42" si="6">ROUND(G35/(1+E35),2)</f>
        <v>0</v>
      </c>
      <c r="C35" s="39"/>
      <c r="D35" s="37"/>
      <c r="E35" s="38"/>
      <c r="F35" s="36">
        <f t="shared" ref="F35:F41" si="7">ROUND(G35/(1+E35)*E35,2)</f>
        <v>0</v>
      </c>
      <c r="G35" s="30"/>
      <c r="H35" s="46">
        <v>44050</v>
      </c>
      <c r="I35" s="70">
        <v>49910</v>
      </c>
      <c r="J35" s="71" t="s">
        <v>57</v>
      </c>
      <c r="K35" s="72" t="s">
        <v>115</v>
      </c>
      <c r="L35" s="68"/>
      <c r="M35" s="56"/>
      <c r="N35" s="69"/>
      <c r="O35" s="55"/>
    </row>
    <row r="36" s="1" customFormat="1" ht="18" customHeight="1" spans="1:15">
      <c r="A36" s="35"/>
      <c r="B36" s="21">
        <f t="shared" si="6"/>
        <v>0</v>
      </c>
      <c r="C36" s="39"/>
      <c r="D36" s="37"/>
      <c r="E36" s="38"/>
      <c r="F36" s="36">
        <f t="shared" si="7"/>
        <v>0</v>
      </c>
      <c r="G36" s="30"/>
      <c r="H36" s="45"/>
      <c r="I36" s="65"/>
      <c r="J36" s="66"/>
      <c r="K36" s="67"/>
      <c r="L36" s="68"/>
      <c r="M36" s="56"/>
      <c r="N36" s="56"/>
      <c r="O36" s="55"/>
    </row>
    <row r="37" s="1" customFormat="1" ht="18" customHeight="1" spans="1:15">
      <c r="A37" s="35"/>
      <c r="B37" s="21">
        <f t="shared" si="6"/>
        <v>0</v>
      </c>
      <c r="C37" s="39"/>
      <c r="D37" s="37"/>
      <c r="E37" s="38"/>
      <c r="F37" s="36">
        <f t="shared" si="7"/>
        <v>0</v>
      </c>
      <c r="G37" s="30"/>
      <c r="H37" s="45"/>
      <c r="I37" s="65"/>
      <c r="J37" s="66"/>
      <c r="K37" s="67"/>
      <c r="L37" s="68"/>
      <c r="M37" s="56"/>
      <c r="N37" s="56"/>
      <c r="O37" s="55"/>
    </row>
    <row r="38" s="1" customFormat="1" ht="18" customHeight="1" spans="1:15">
      <c r="A38" s="35"/>
      <c r="B38" s="21">
        <f t="shared" si="6"/>
        <v>0</v>
      </c>
      <c r="C38" s="39"/>
      <c r="D38" s="37"/>
      <c r="E38" s="38"/>
      <c r="F38" s="36">
        <f t="shared" si="7"/>
        <v>0</v>
      </c>
      <c r="G38" s="30"/>
      <c r="H38" s="45"/>
      <c r="I38" s="65"/>
      <c r="J38" s="66"/>
      <c r="K38" s="67"/>
      <c r="L38" s="68"/>
      <c r="M38" s="56"/>
      <c r="N38" s="56"/>
      <c r="O38" s="55"/>
    </row>
    <row r="39" s="1" customFormat="1" ht="18" customHeight="1" spans="1:15">
      <c r="A39" s="35"/>
      <c r="B39" s="21">
        <f t="shared" si="6"/>
        <v>0</v>
      </c>
      <c r="C39" s="39"/>
      <c r="D39" s="37"/>
      <c r="E39" s="38"/>
      <c r="F39" s="36">
        <f t="shared" si="7"/>
        <v>0</v>
      </c>
      <c r="G39" s="30"/>
      <c r="H39" s="45"/>
      <c r="I39" s="65"/>
      <c r="J39" s="66"/>
      <c r="K39" s="67"/>
      <c r="L39" s="68"/>
      <c r="M39" s="56"/>
      <c r="N39" s="56"/>
      <c r="O39" s="55"/>
    </row>
    <row r="40" s="1" customFormat="1" ht="18" customHeight="1" spans="1:15">
      <c r="A40" s="35"/>
      <c r="B40" s="21">
        <f t="shared" si="6"/>
        <v>0</v>
      </c>
      <c r="C40" s="39"/>
      <c r="D40" s="37"/>
      <c r="E40" s="38"/>
      <c r="F40" s="36">
        <f t="shared" si="7"/>
        <v>0</v>
      </c>
      <c r="G40" s="30"/>
      <c r="H40" s="46" t="s">
        <v>116</v>
      </c>
      <c r="I40" s="70">
        <v>50</v>
      </c>
      <c r="J40" s="71" t="s">
        <v>59</v>
      </c>
      <c r="K40" s="72" t="s">
        <v>60</v>
      </c>
      <c r="L40" s="68"/>
      <c r="M40" s="56"/>
      <c r="N40" s="56"/>
      <c r="O40" s="55"/>
    </row>
    <row r="41" s="1" customFormat="1" ht="18" customHeight="1" spans="1:15">
      <c r="A41" s="35"/>
      <c r="B41" s="21">
        <f t="shared" si="6"/>
        <v>0</v>
      </c>
      <c r="C41" s="39"/>
      <c r="D41" s="37"/>
      <c r="E41" s="38"/>
      <c r="F41" s="36">
        <f t="shared" si="7"/>
        <v>0</v>
      </c>
      <c r="G41" s="30"/>
      <c r="H41" s="45" t="s">
        <v>113</v>
      </c>
      <c r="I41" s="65">
        <v>100</v>
      </c>
      <c r="J41" s="66" t="s">
        <v>59</v>
      </c>
      <c r="K41" s="67" t="s">
        <v>60</v>
      </c>
      <c r="L41" s="68"/>
      <c r="M41" s="56"/>
      <c r="N41" s="56"/>
      <c r="O41" s="55"/>
    </row>
    <row r="42" s="1" customFormat="1" ht="18" customHeight="1" spans="1:15">
      <c r="A42" s="35"/>
      <c r="B42" s="21">
        <f t="shared" si="6"/>
        <v>0</v>
      </c>
      <c r="C42" s="39"/>
      <c r="D42" s="37"/>
      <c r="E42" s="38"/>
      <c r="F42" s="36">
        <f t="shared" ref="F42:F68" si="8">ROUND(G42/(1+E42)*E42,2)</f>
        <v>0</v>
      </c>
      <c r="G42" s="30"/>
      <c r="H42" s="45">
        <v>43984</v>
      </c>
      <c r="I42" s="65">
        <v>200</v>
      </c>
      <c r="J42" s="66" t="s">
        <v>59</v>
      </c>
      <c r="K42" s="67" t="s">
        <v>60</v>
      </c>
      <c r="L42" s="68"/>
      <c r="M42" s="56"/>
      <c r="N42" s="56"/>
      <c r="O42" s="55"/>
    </row>
    <row r="43" s="1" customFormat="1" ht="18" customHeight="1" spans="1:15">
      <c r="A43" s="35"/>
      <c r="B43" s="21">
        <f t="shared" ref="B43:B68" si="9">ROUND(G43/(1+E43),2)</f>
        <v>0</v>
      </c>
      <c r="C43" s="39"/>
      <c r="D43" s="37"/>
      <c r="E43" s="38"/>
      <c r="F43" s="36">
        <f t="shared" si="8"/>
        <v>0</v>
      </c>
      <c r="G43" s="30"/>
      <c r="H43" s="26">
        <v>43984</v>
      </c>
      <c r="I43" s="27">
        <f>-(I54+I51+I47)</f>
        <v>-178666.95</v>
      </c>
      <c r="J43" s="51" t="s">
        <v>61</v>
      </c>
      <c r="K43" s="54" t="s">
        <v>62</v>
      </c>
      <c r="L43" s="55"/>
      <c r="M43" s="56"/>
      <c r="N43" s="56"/>
      <c r="O43" s="55"/>
    </row>
    <row r="44" s="1" customFormat="1" ht="18" customHeight="1" spans="1:15">
      <c r="A44" s="35"/>
      <c r="B44" s="21">
        <f t="shared" si="9"/>
        <v>0</v>
      </c>
      <c r="C44" s="39"/>
      <c r="D44" s="37"/>
      <c r="E44" s="38"/>
      <c r="F44" s="36">
        <f t="shared" si="8"/>
        <v>0</v>
      </c>
      <c r="G44" s="30"/>
      <c r="H44" s="26">
        <v>43984</v>
      </c>
      <c r="I44" s="27">
        <v>22048</v>
      </c>
      <c r="J44" s="51" t="s">
        <v>59</v>
      </c>
      <c r="K44" s="54" t="s">
        <v>63</v>
      </c>
      <c r="L44" s="55"/>
      <c r="M44" s="56"/>
      <c r="N44" s="56"/>
      <c r="O44" s="55"/>
    </row>
    <row r="45" s="1" customFormat="1" ht="18" customHeight="1" spans="1:15">
      <c r="A45" s="35"/>
      <c r="B45" s="21">
        <f t="shared" si="9"/>
        <v>0</v>
      </c>
      <c r="C45" s="39"/>
      <c r="D45" s="37"/>
      <c r="E45" s="38"/>
      <c r="F45" s="36">
        <f t="shared" si="8"/>
        <v>0</v>
      </c>
      <c r="G45" s="30"/>
      <c r="H45" s="26">
        <v>43972</v>
      </c>
      <c r="I45" s="27">
        <v>100</v>
      </c>
      <c r="J45" s="51" t="s">
        <v>59</v>
      </c>
      <c r="K45" s="54" t="s">
        <v>60</v>
      </c>
      <c r="L45" s="55"/>
      <c r="M45" s="56"/>
      <c r="N45" s="56"/>
      <c r="O45" s="55"/>
    </row>
    <row r="46" s="1" customFormat="1" ht="18" customHeight="1" spans="1:15">
      <c r="A46" s="35"/>
      <c r="B46" s="21">
        <f t="shared" si="9"/>
        <v>0</v>
      </c>
      <c r="C46" s="39"/>
      <c r="D46" s="37"/>
      <c r="E46" s="38"/>
      <c r="F46" s="36">
        <f t="shared" si="8"/>
        <v>0</v>
      </c>
      <c r="G46" s="30"/>
      <c r="H46" s="26">
        <v>43972</v>
      </c>
      <c r="I46" s="27">
        <v>9000</v>
      </c>
      <c r="J46" s="51" t="s">
        <v>59</v>
      </c>
      <c r="K46" s="54" t="s">
        <v>64</v>
      </c>
      <c r="L46" s="55"/>
      <c r="M46" s="56"/>
      <c r="N46" s="56"/>
      <c r="O46" s="55"/>
    </row>
    <row r="47" s="1" customFormat="1" ht="18" customHeight="1" spans="1:15">
      <c r="A47" s="35"/>
      <c r="B47" s="21">
        <f t="shared" si="9"/>
        <v>0</v>
      </c>
      <c r="C47" s="39"/>
      <c r="D47" s="37"/>
      <c r="E47" s="38"/>
      <c r="F47" s="36">
        <f t="shared" si="8"/>
        <v>0</v>
      </c>
      <c r="G47" s="30"/>
      <c r="H47" s="26">
        <v>43972</v>
      </c>
      <c r="I47" s="27">
        <v>156769.95</v>
      </c>
      <c r="J47" s="51" t="s">
        <v>65</v>
      </c>
      <c r="K47" s="54" t="s">
        <v>66</v>
      </c>
      <c r="L47" s="55"/>
      <c r="M47" s="56"/>
      <c r="N47" s="56"/>
      <c r="O47" s="55"/>
    </row>
    <row r="48" s="1" customFormat="1" ht="18" customHeight="1" spans="1:15">
      <c r="A48" s="35"/>
      <c r="B48" s="21">
        <f t="shared" si="9"/>
        <v>0</v>
      </c>
      <c r="C48" s="39"/>
      <c r="D48" s="37"/>
      <c r="E48" s="38"/>
      <c r="F48" s="36">
        <f t="shared" si="8"/>
        <v>0</v>
      </c>
      <c r="G48" s="30"/>
      <c r="H48" s="26">
        <v>43972</v>
      </c>
      <c r="I48" s="27">
        <f>K79</f>
        <v>665.513647706422</v>
      </c>
      <c r="J48" s="51" t="s">
        <v>59</v>
      </c>
      <c r="K48" s="54" t="s">
        <v>67</v>
      </c>
      <c r="L48" s="55"/>
      <c r="M48" s="56"/>
      <c r="N48" s="56"/>
      <c r="O48" s="55"/>
    </row>
    <row r="49" s="1" customFormat="1" ht="18" customHeight="1" spans="1:15">
      <c r="A49" s="35"/>
      <c r="B49" s="21">
        <f t="shared" si="9"/>
        <v>0</v>
      </c>
      <c r="C49" s="39"/>
      <c r="D49" s="37"/>
      <c r="E49" s="38"/>
      <c r="F49" s="36">
        <f t="shared" si="8"/>
        <v>0</v>
      </c>
      <c r="G49" s="30"/>
      <c r="H49" s="26">
        <v>43972</v>
      </c>
      <c r="I49" s="27">
        <f>B10*0.02</f>
        <v>22183.7882568807</v>
      </c>
      <c r="J49" s="51" t="s">
        <v>59</v>
      </c>
      <c r="K49" s="54" t="s">
        <v>68</v>
      </c>
      <c r="L49" s="55"/>
      <c r="M49" s="56"/>
      <c r="N49" s="56"/>
      <c r="O49" s="55"/>
    </row>
    <row r="50" s="1" customFormat="1" ht="18" customHeight="1" spans="1:15">
      <c r="A50" s="35"/>
      <c r="B50" s="21">
        <f t="shared" si="9"/>
        <v>0</v>
      </c>
      <c r="C50" s="39"/>
      <c r="D50" s="37"/>
      <c r="E50" s="38"/>
      <c r="F50" s="36">
        <f t="shared" si="8"/>
        <v>0</v>
      </c>
      <c r="G50" s="30"/>
      <c r="H50" s="26">
        <v>43900</v>
      </c>
      <c r="I50" s="27">
        <v>100</v>
      </c>
      <c r="J50" s="51" t="s">
        <v>59</v>
      </c>
      <c r="K50" s="54" t="s">
        <v>60</v>
      </c>
      <c r="L50" s="55"/>
      <c r="M50" s="56"/>
      <c r="N50" s="56"/>
      <c r="O50" s="55"/>
    </row>
    <row r="51" s="1" customFormat="1" ht="18" customHeight="1" spans="1:15">
      <c r="A51" s="35"/>
      <c r="B51" s="21">
        <f t="shared" si="9"/>
        <v>0</v>
      </c>
      <c r="C51" s="39"/>
      <c r="D51" s="37"/>
      <c r="E51" s="38"/>
      <c r="F51" s="36">
        <f t="shared" si="8"/>
        <v>0</v>
      </c>
      <c r="G51" s="30"/>
      <c r="H51" s="26">
        <v>43900</v>
      </c>
      <c r="I51" s="27">
        <v>-909920</v>
      </c>
      <c r="J51" s="51" t="s">
        <v>61</v>
      </c>
      <c r="K51" s="58" t="s">
        <v>69</v>
      </c>
      <c r="L51" s="55"/>
      <c r="M51" s="56"/>
      <c r="N51" s="56"/>
      <c r="O51" s="55"/>
    </row>
    <row r="52" s="1" customFormat="1" ht="18" customHeight="1" spans="1:15">
      <c r="A52" s="35"/>
      <c r="B52" s="21">
        <f t="shared" si="9"/>
        <v>0</v>
      </c>
      <c r="C52" s="39"/>
      <c r="D52" s="37"/>
      <c r="E52" s="38"/>
      <c r="F52" s="36">
        <f t="shared" si="8"/>
        <v>0</v>
      </c>
      <c r="G52" s="30"/>
      <c r="H52" s="26" t="s">
        <v>70</v>
      </c>
      <c r="I52" s="27">
        <v>200</v>
      </c>
      <c r="J52" s="51" t="s">
        <v>59</v>
      </c>
      <c r="K52" s="54" t="s">
        <v>60</v>
      </c>
      <c r="L52" s="55"/>
      <c r="M52" s="56"/>
      <c r="N52" s="56"/>
      <c r="O52" s="55"/>
    </row>
    <row r="53" s="1" customFormat="1" ht="18" customHeight="1" spans="1:15">
      <c r="A53" s="35"/>
      <c r="B53" s="21">
        <f t="shared" si="9"/>
        <v>0</v>
      </c>
      <c r="C53" s="39"/>
      <c r="D53" s="37"/>
      <c r="E53" s="74"/>
      <c r="F53" s="36">
        <f t="shared" si="8"/>
        <v>0</v>
      </c>
      <c r="G53" s="30"/>
      <c r="H53" s="26" t="s">
        <v>71</v>
      </c>
      <c r="I53" s="27">
        <v>150</v>
      </c>
      <c r="J53" s="51" t="s">
        <v>59</v>
      </c>
      <c r="K53" s="54" t="s">
        <v>60</v>
      </c>
      <c r="L53" s="55"/>
      <c r="M53" s="56"/>
      <c r="N53" s="56"/>
      <c r="O53" s="55"/>
    </row>
    <row r="54" s="1" customFormat="1" ht="18" customHeight="1" spans="1:15">
      <c r="A54" s="35"/>
      <c r="B54" s="21">
        <f t="shared" si="9"/>
        <v>0</v>
      </c>
      <c r="C54" s="39"/>
      <c r="D54" s="37"/>
      <c r="E54" s="74"/>
      <c r="F54" s="36">
        <f t="shared" si="8"/>
        <v>0</v>
      </c>
      <c r="G54" s="30"/>
      <c r="H54" s="26" t="s">
        <v>71</v>
      </c>
      <c r="I54" s="27">
        <v>931817</v>
      </c>
      <c r="J54" s="51" t="s">
        <v>65</v>
      </c>
      <c r="K54" s="54" t="s">
        <v>72</v>
      </c>
      <c r="L54" s="55"/>
      <c r="M54" s="56">
        <f>I54+I51+I47+I43</f>
        <v>0</v>
      </c>
      <c r="N54" s="56"/>
      <c r="O54" s="55"/>
    </row>
    <row r="55" s="1" customFormat="1" ht="18" customHeight="1" spans="1:15">
      <c r="A55" s="35"/>
      <c r="B55" s="21">
        <f t="shared" si="9"/>
        <v>0</v>
      </c>
      <c r="C55" s="39"/>
      <c r="D55" s="37"/>
      <c r="E55" s="74"/>
      <c r="F55" s="36">
        <f t="shared" si="8"/>
        <v>0</v>
      </c>
      <c r="G55" s="30"/>
      <c r="H55" s="26" t="s">
        <v>71</v>
      </c>
      <c r="I55" s="27">
        <v>91630</v>
      </c>
      <c r="J55" s="51" t="s">
        <v>59</v>
      </c>
      <c r="K55" s="54" t="s">
        <v>73</v>
      </c>
      <c r="L55" s="55"/>
      <c r="M55" s="56"/>
      <c r="N55" s="56"/>
      <c r="O55" s="55"/>
    </row>
    <row r="56" s="1" customFormat="1" ht="18" customHeight="1" spans="1:15">
      <c r="A56" s="35"/>
      <c r="B56" s="21">
        <f t="shared" si="9"/>
        <v>0</v>
      </c>
      <c r="C56" s="39"/>
      <c r="D56" s="37"/>
      <c r="E56" s="74"/>
      <c r="F56" s="36">
        <f t="shared" si="8"/>
        <v>0</v>
      </c>
      <c r="G56" s="30"/>
      <c r="H56" s="26" t="s">
        <v>71</v>
      </c>
      <c r="I56" s="27">
        <v>2522</v>
      </c>
      <c r="J56" s="51" t="s">
        <v>59</v>
      </c>
      <c r="K56" s="54" t="s">
        <v>67</v>
      </c>
      <c r="L56" s="55"/>
      <c r="M56" s="56"/>
      <c r="N56" s="56"/>
      <c r="O56" s="55"/>
    </row>
    <row r="57" s="1" customFormat="1" ht="18" customHeight="1" spans="1:15">
      <c r="A57" s="35"/>
      <c r="B57" s="21">
        <f t="shared" si="9"/>
        <v>0</v>
      </c>
      <c r="C57" s="39"/>
      <c r="D57" s="37"/>
      <c r="E57" s="74"/>
      <c r="F57" s="36">
        <f t="shared" si="8"/>
        <v>0</v>
      </c>
      <c r="G57" s="30"/>
      <c r="H57" s="26" t="s">
        <v>71</v>
      </c>
      <c r="I57" s="27">
        <v>200</v>
      </c>
      <c r="J57" s="51" t="s">
        <v>59</v>
      </c>
      <c r="K57" s="54" t="s">
        <v>60</v>
      </c>
      <c r="L57" s="55"/>
      <c r="M57" s="56"/>
      <c r="N57" s="56"/>
      <c r="O57" s="55"/>
    </row>
    <row r="58" s="1" customFormat="1" ht="18" customHeight="1" spans="1:15">
      <c r="A58" s="35"/>
      <c r="B58" s="21">
        <f t="shared" si="9"/>
        <v>0</v>
      </c>
      <c r="C58" s="39"/>
      <c r="D58" s="37"/>
      <c r="E58" s="74"/>
      <c r="F58" s="36">
        <f t="shared" si="8"/>
        <v>0</v>
      </c>
      <c r="G58" s="30"/>
      <c r="H58" s="26" t="s">
        <v>71</v>
      </c>
      <c r="I58" s="27">
        <v>9000</v>
      </c>
      <c r="J58" s="51" t="s">
        <v>59</v>
      </c>
      <c r="K58" s="54" t="s">
        <v>74</v>
      </c>
      <c r="L58" s="55"/>
      <c r="M58" s="56"/>
      <c r="N58" s="56"/>
      <c r="O58" s="55"/>
    </row>
    <row r="59" s="1" customFormat="1" ht="18" customHeight="1" spans="1:15">
      <c r="A59" s="35"/>
      <c r="B59" s="21">
        <f t="shared" si="9"/>
        <v>290682</v>
      </c>
      <c r="C59" s="39"/>
      <c r="D59" s="37"/>
      <c r="E59" s="74"/>
      <c r="F59" s="36">
        <f t="shared" si="8"/>
        <v>0</v>
      </c>
      <c r="G59" s="30">
        <v>290682</v>
      </c>
      <c r="H59" s="26" t="s">
        <v>71</v>
      </c>
      <c r="I59" s="27">
        <f>G59</f>
        <v>290682</v>
      </c>
      <c r="J59" s="51" t="s">
        <v>59</v>
      </c>
      <c r="K59" s="54" t="s">
        <v>75</v>
      </c>
      <c r="L59" s="55"/>
      <c r="M59" s="56"/>
      <c r="N59" s="56"/>
      <c r="O59" s="55"/>
    </row>
    <row r="60" s="1" customFormat="1" ht="18" customHeight="1" spans="1:15">
      <c r="A60" s="35"/>
      <c r="B60" s="21">
        <f t="shared" si="9"/>
        <v>0</v>
      </c>
      <c r="C60" s="39"/>
      <c r="D60" s="37"/>
      <c r="E60" s="74"/>
      <c r="F60" s="36">
        <f t="shared" si="8"/>
        <v>0</v>
      </c>
      <c r="G60" s="30"/>
      <c r="H60" s="26" t="s">
        <v>76</v>
      </c>
      <c r="I60" s="27">
        <v>3000</v>
      </c>
      <c r="J60" s="51" t="s">
        <v>59</v>
      </c>
      <c r="K60" s="54" t="s">
        <v>74</v>
      </c>
      <c r="L60" s="55"/>
      <c r="M60" s="56"/>
      <c r="N60" s="56"/>
      <c r="O60" s="55"/>
    </row>
    <row r="61" s="1" customFormat="1" ht="18" customHeight="1" spans="1:15">
      <c r="A61" s="35"/>
      <c r="B61" s="21">
        <f t="shared" si="9"/>
        <v>0</v>
      </c>
      <c r="C61" s="39"/>
      <c r="D61" s="37"/>
      <c r="E61" s="74"/>
      <c r="F61" s="36">
        <f t="shared" si="8"/>
        <v>0</v>
      </c>
      <c r="G61" s="30"/>
      <c r="H61" s="26" t="s">
        <v>76</v>
      </c>
      <c r="I61" s="27">
        <v>-563677</v>
      </c>
      <c r="J61" s="51" t="s">
        <v>61</v>
      </c>
      <c r="K61" s="54" t="s">
        <v>77</v>
      </c>
      <c r="L61" s="55"/>
      <c r="M61" s="56"/>
      <c r="N61" s="56"/>
      <c r="O61" s="55"/>
    </row>
    <row r="62" s="1" customFormat="1" ht="18" customHeight="1" spans="1:15">
      <c r="A62" s="35"/>
      <c r="B62" s="21">
        <f t="shared" si="9"/>
        <v>0</v>
      </c>
      <c r="C62" s="39"/>
      <c r="D62" s="37"/>
      <c r="E62" s="74"/>
      <c r="F62" s="36">
        <f t="shared" si="8"/>
        <v>0</v>
      </c>
      <c r="G62" s="30"/>
      <c r="H62" s="26" t="s">
        <v>76</v>
      </c>
      <c r="I62" s="27">
        <v>-181186</v>
      </c>
      <c r="J62" s="51" t="s">
        <v>78</v>
      </c>
      <c r="K62" s="54" t="s">
        <v>79</v>
      </c>
      <c r="L62" s="55"/>
      <c r="M62" s="56"/>
      <c r="N62" s="56"/>
      <c r="O62" s="55"/>
    </row>
    <row r="63" s="1" customFormat="1" ht="18" customHeight="1" spans="1:15">
      <c r="A63" s="35"/>
      <c r="B63" s="21">
        <f t="shared" si="9"/>
        <v>0</v>
      </c>
      <c r="C63" s="39"/>
      <c r="D63" s="37"/>
      <c r="E63" s="74"/>
      <c r="F63" s="21">
        <f t="shared" si="8"/>
        <v>0</v>
      </c>
      <c r="G63" s="30"/>
      <c r="H63" s="26" t="s">
        <v>76</v>
      </c>
      <c r="I63" s="27">
        <v>181186</v>
      </c>
      <c r="J63" s="51" t="s">
        <v>59</v>
      </c>
      <c r="K63" s="54" t="s">
        <v>63</v>
      </c>
      <c r="L63" s="55"/>
      <c r="M63" s="56"/>
      <c r="N63" s="56"/>
      <c r="O63" s="55"/>
    </row>
    <row r="64" s="1" customFormat="1" ht="18" customHeight="1" spans="1:15">
      <c r="A64" s="35"/>
      <c r="B64" s="21">
        <f t="shared" si="9"/>
        <v>0</v>
      </c>
      <c r="C64" s="39"/>
      <c r="D64" s="37"/>
      <c r="E64" s="74"/>
      <c r="F64" s="21">
        <f t="shared" si="8"/>
        <v>0</v>
      </c>
      <c r="G64" s="30"/>
      <c r="H64" s="26" t="s">
        <v>76</v>
      </c>
      <c r="I64" s="27">
        <v>563677</v>
      </c>
      <c r="J64" s="51" t="s">
        <v>65</v>
      </c>
      <c r="K64" s="54" t="s">
        <v>66</v>
      </c>
      <c r="L64" s="55"/>
      <c r="M64" s="56"/>
      <c r="N64" s="56"/>
      <c r="O64" s="55"/>
    </row>
    <row r="65" s="1" customFormat="1" ht="18" customHeight="1" spans="1:15">
      <c r="A65" s="35"/>
      <c r="B65" s="21">
        <f t="shared" si="9"/>
        <v>0</v>
      </c>
      <c r="C65" s="39"/>
      <c r="D65" s="37"/>
      <c r="E65" s="74"/>
      <c r="F65" s="21">
        <f t="shared" si="8"/>
        <v>0</v>
      </c>
      <c r="G65" s="30"/>
      <c r="H65" s="26" t="s">
        <v>76</v>
      </c>
      <c r="I65" s="27">
        <v>47062</v>
      </c>
      <c r="J65" s="51" t="s">
        <v>59</v>
      </c>
      <c r="K65" s="54" t="s">
        <v>80</v>
      </c>
      <c r="L65" s="55"/>
      <c r="M65" s="56"/>
      <c r="N65" s="56"/>
      <c r="O65" s="55"/>
    </row>
    <row r="66" s="1" customFormat="1" ht="18" customHeight="1" spans="1:15">
      <c r="A66" s="35"/>
      <c r="B66" s="21">
        <f t="shared" si="9"/>
        <v>0</v>
      </c>
      <c r="C66" s="39"/>
      <c r="D66" s="37"/>
      <c r="E66" s="74"/>
      <c r="F66" s="21">
        <f t="shared" si="8"/>
        <v>0</v>
      </c>
      <c r="G66" s="30"/>
      <c r="H66" s="26" t="s">
        <v>76</v>
      </c>
      <c r="I66" s="27">
        <v>1412</v>
      </c>
      <c r="J66" s="51" t="s">
        <v>59</v>
      </c>
      <c r="K66" s="54" t="s">
        <v>67</v>
      </c>
      <c r="L66" s="55"/>
      <c r="M66" s="56"/>
      <c r="N66" s="56"/>
      <c r="O66" s="55"/>
    </row>
    <row r="67" s="1" customFormat="1" ht="18" customHeight="1" spans="1:15">
      <c r="A67" s="35"/>
      <c r="B67" s="21">
        <f t="shared" si="9"/>
        <v>51296.82</v>
      </c>
      <c r="C67" s="39"/>
      <c r="D67" s="37"/>
      <c r="E67" s="74"/>
      <c r="F67" s="21">
        <f t="shared" si="8"/>
        <v>0</v>
      </c>
      <c r="G67" s="30">
        <f>I7*0.02</f>
        <v>51296.823</v>
      </c>
      <c r="H67" s="26" t="s">
        <v>76</v>
      </c>
      <c r="I67" s="27">
        <f>G67</f>
        <v>51296.823</v>
      </c>
      <c r="J67" s="51" t="s">
        <v>59</v>
      </c>
      <c r="K67" s="54" t="s">
        <v>81</v>
      </c>
      <c r="L67" s="55"/>
      <c r="M67" s="56"/>
      <c r="N67" s="56"/>
      <c r="O67" s="55"/>
    </row>
    <row r="68" s="111" customFormat="1" ht="45" customHeight="1" spans="1:15">
      <c r="A68" s="115"/>
      <c r="B68" s="116">
        <f t="shared" si="9"/>
        <v>0</v>
      </c>
      <c r="C68" s="117"/>
      <c r="D68" s="118"/>
      <c r="E68" s="119"/>
      <c r="F68" s="116">
        <f t="shared" si="8"/>
        <v>0</v>
      </c>
      <c r="G68" s="116"/>
      <c r="H68" s="120"/>
      <c r="I68" s="131"/>
      <c r="J68" s="132"/>
      <c r="K68" s="133" t="s">
        <v>82</v>
      </c>
      <c r="L68" s="134"/>
      <c r="M68" s="135"/>
      <c r="N68" s="135"/>
      <c r="O68" s="134"/>
    </row>
    <row r="69" ht="18" customHeight="1" spans="1:15">
      <c r="A69" s="113" t="s">
        <v>23</v>
      </c>
      <c r="B69" s="121">
        <f>SUM(B16:B68)</f>
        <v>7635495.34</v>
      </c>
      <c r="C69" s="113"/>
      <c r="D69" s="122"/>
      <c r="E69" s="122"/>
      <c r="F69" s="123">
        <f>SUM(F17:F68)</f>
        <v>280944.53</v>
      </c>
      <c r="G69" s="124">
        <f>SUM(G17:G68)</f>
        <v>7901050.823</v>
      </c>
      <c r="H69" s="125"/>
      <c r="I69" s="106">
        <f>SUM(I17:I68)</f>
        <v>8340764.12490459</v>
      </c>
      <c r="J69" s="136"/>
      <c r="K69" s="122"/>
      <c r="L69" s="52"/>
      <c r="M69" s="51"/>
      <c r="N69" s="51"/>
      <c r="O69" s="52"/>
    </row>
    <row r="70" ht="18" customHeight="1" spans="1:14">
      <c r="A70" s="79" t="s">
        <v>83</v>
      </c>
      <c r="B70" s="80">
        <f>B13*0.92</f>
        <v>7052203.12036697</v>
      </c>
      <c r="C70" s="79"/>
      <c r="D70" s="81"/>
      <c r="E70" s="81"/>
      <c r="F70" s="80">
        <f t="shared" ref="F70:I70" si="10">F13-F69</f>
        <v>255636.142201835</v>
      </c>
      <c r="G70" s="80">
        <f t="shared" si="10"/>
        <v>454276.787</v>
      </c>
      <c r="H70" s="25" t="s">
        <v>84</v>
      </c>
      <c r="I70" s="106">
        <f t="shared" si="10"/>
        <v>14563.4850954134</v>
      </c>
      <c r="J70" s="10"/>
      <c r="K70" s="107"/>
      <c r="M70" s="108"/>
      <c r="N70" s="108"/>
    </row>
    <row r="71" ht="18" customHeight="1" spans="1:14">
      <c r="A71" s="79" t="s">
        <v>85</v>
      </c>
      <c r="B71" s="80">
        <f>B70-B69</f>
        <v>-583292.219633029</v>
      </c>
      <c r="C71" s="79"/>
      <c r="D71" s="81"/>
      <c r="E71" s="81"/>
      <c r="F71" s="80"/>
      <c r="G71" s="80"/>
      <c r="H71" s="82"/>
      <c r="I71" s="80"/>
      <c r="J71" s="10"/>
      <c r="K71" s="107"/>
      <c r="M71" s="108"/>
      <c r="N71" s="108"/>
    </row>
    <row r="72" ht="18" customHeight="1" spans="1:18">
      <c r="A72" s="5" t="s">
        <v>86</v>
      </c>
      <c r="C72" s="5"/>
      <c r="R72" s="10">
        <f>I51+I54+I61+I64</f>
        <v>21897</v>
      </c>
    </row>
    <row r="73" ht="18" customHeight="1" spans="1:11">
      <c r="A73" s="25" t="s">
        <v>87</v>
      </c>
      <c r="B73" s="24" t="s">
        <v>88</v>
      </c>
      <c r="C73" s="52"/>
      <c r="D73" s="25" t="s">
        <v>87</v>
      </c>
      <c r="E73" s="23" t="s">
        <v>16</v>
      </c>
      <c r="F73" s="24" t="s">
        <v>88</v>
      </c>
      <c r="G73" s="6" t="s">
        <v>89</v>
      </c>
      <c r="H73" s="126" t="s">
        <v>90</v>
      </c>
      <c r="I73" s="126" t="s">
        <v>91</v>
      </c>
      <c r="K73" s="24" t="s">
        <v>92</v>
      </c>
    </row>
    <row r="74" ht="18" customHeight="1" spans="1:11">
      <c r="A74" s="52" t="s">
        <v>93</v>
      </c>
      <c r="B74" s="21">
        <f>(B70-B69)*0.25</f>
        <v>-145823.054908257</v>
      </c>
      <c r="C74" s="52"/>
      <c r="D74" s="32" t="s">
        <v>94</v>
      </c>
      <c r="E74" s="25" t="s">
        <v>95</v>
      </c>
      <c r="F74" s="123">
        <f>F13-F69</f>
        <v>255636.142201835</v>
      </c>
      <c r="G74" s="6">
        <f>F7</f>
        <v>164714.569266055</v>
      </c>
      <c r="H74" s="127">
        <f>F7</f>
        <v>164714.569266055</v>
      </c>
      <c r="I74" s="27">
        <f>F9-F19-F20</f>
        <v>223803.614036697</v>
      </c>
      <c r="K74" s="27">
        <f>F74-H74-I74+G85+I85</f>
        <v>20043.6288990826</v>
      </c>
    </row>
    <row r="75" ht="18" customHeight="1" spans="1:11">
      <c r="A75" s="52" t="s">
        <v>96</v>
      </c>
      <c r="B75" s="87" t="s">
        <v>97</v>
      </c>
      <c r="C75" s="52"/>
      <c r="D75" s="88" t="s">
        <v>98</v>
      </c>
      <c r="E75" s="17">
        <v>0.05</v>
      </c>
      <c r="F75" s="27">
        <f>F74*E75</f>
        <v>12781.8071100917</v>
      </c>
      <c r="G75" s="6">
        <f>G74*E75</f>
        <v>8235.72846330275</v>
      </c>
      <c r="H75" s="128">
        <f>H74*E75</f>
        <v>8235.72846330275</v>
      </c>
      <c r="I75" s="27">
        <f>I74*E75</f>
        <v>11190.1807018349</v>
      </c>
      <c r="K75" s="27">
        <f>K74*E75</f>
        <v>1002.18144495413</v>
      </c>
    </row>
    <row r="76" ht="18" customHeight="1" spans="1:11">
      <c r="A76" s="52" t="s">
        <v>67</v>
      </c>
      <c r="B76" s="87"/>
      <c r="C76" s="52"/>
      <c r="D76" s="88" t="s">
        <v>99</v>
      </c>
      <c r="E76" s="17">
        <v>0.03</v>
      </c>
      <c r="F76" s="27">
        <f>F74*E76</f>
        <v>7669.08426605504</v>
      </c>
      <c r="G76" s="6">
        <f>G74*E76</f>
        <v>4941.43707798165</v>
      </c>
      <c r="H76" s="128">
        <f>H74*E76</f>
        <v>4941.43707798165</v>
      </c>
      <c r="I76" s="27">
        <f>I74*E76</f>
        <v>6714.10842110092</v>
      </c>
      <c r="K76" s="27">
        <f>K74*E76</f>
        <v>601.308866972477</v>
      </c>
    </row>
    <row r="77" ht="18" customHeight="1" spans="1:11">
      <c r="A77" s="52"/>
      <c r="B77" s="27"/>
      <c r="C77" s="52"/>
      <c r="D77" s="88" t="s">
        <v>100</v>
      </c>
      <c r="E77" s="17">
        <v>0.02</v>
      </c>
      <c r="F77" s="27">
        <f>F74*E77</f>
        <v>5112.7228440367</v>
      </c>
      <c r="G77" s="6">
        <f>G74*E77</f>
        <v>3294.2913853211</v>
      </c>
      <c r="H77" s="128">
        <f>H74*E77</f>
        <v>3294.2913853211</v>
      </c>
      <c r="I77" s="27">
        <f>I74*E77</f>
        <v>4476.07228073394</v>
      </c>
      <c r="K77" s="27">
        <f>K74*E77</f>
        <v>400.872577981651</v>
      </c>
    </row>
    <row r="78" ht="18" customHeight="1" spans="1:11">
      <c r="A78" s="32" t="s">
        <v>101</v>
      </c>
      <c r="B78" s="121">
        <f t="shared" ref="B78:I78" si="11">SUM(B74:B77)</f>
        <v>-145823.054908257</v>
      </c>
      <c r="C78" s="52"/>
      <c r="D78" s="34" t="s">
        <v>101</v>
      </c>
      <c r="E78" s="32"/>
      <c r="F78" s="123">
        <f t="shared" si="11"/>
        <v>281199.756422018</v>
      </c>
      <c r="G78" s="6">
        <f t="shared" si="11"/>
        <v>181186.026192661</v>
      </c>
      <c r="H78" s="127">
        <f t="shared" si="11"/>
        <v>181186.026192661</v>
      </c>
      <c r="I78" s="27">
        <f t="shared" si="11"/>
        <v>246183.975440367</v>
      </c>
      <c r="K78" s="27">
        <f>SUM(K74:K77)</f>
        <v>22047.9917889908</v>
      </c>
    </row>
    <row r="79" ht="18" customHeight="1" spans="3:11">
      <c r="C79" s="5"/>
      <c r="D79" s="15" t="s">
        <v>67</v>
      </c>
      <c r="E79" s="129">
        <v>0.0006</v>
      </c>
      <c r="F79" s="27">
        <f>B13*E79</f>
        <v>4599.26290458716</v>
      </c>
      <c r="H79" s="27">
        <f>B7*E79</f>
        <v>1411.83916513761</v>
      </c>
      <c r="I79" s="27">
        <f>B9*0.0006</f>
        <v>2521.91009174312</v>
      </c>
      <c r="K79" s="70">
        <f>B10*E79</f>
        <v>665.513647706422</v>
      </c>
    </row>
    <row r="80" ht="18" customHeight="1" spans="3:11">
      <c r="C80" s="5"/>
      <c r="D80" s="23" t="s">
        <v>101</v>
      </c>
      <c r="E80" s="122"/>
      <c r="F80" s="106">
        <f>F79</f>
        <v>4599.26290458716</v>
      </c>
      <c r="H80" s="106">
        <f>H79</f>
        <v>1411.83916513761</v>
      </c>
      <c r="I80" s="27"/>
      <c r="K80" s="52"/>
    </row>
    <row r="81" ht="18" customHeight="1" spans="3:11">
      <c r="C81" s="5"/>
      <c r="D81" s="23" t="s">
        <v>23</v>
      </c>
      <c r="E81" s="113"/>
      <c r="F81" s="106">
        <f>F78+F80</f>
        <v>285799.019326605</v>
      </c>
      <c r="H81" s="106">
        <f>H78+H80</f>
        <v>182597.865357798</v>
      </c>
      <c r="I81" s="27"/>
      <c r="K81" s="52"/>
    </row>
    <row r="82" ht="18" customHeight="1" spans="3:11">
      <c r="C82" s="5"/>
      <c r="D82" s="113" t="s">
        <v>93</v>
      </c>
      <c r="E82" s="122">
        <v>0.02</v>
      </c>
      <c r="F82" s="106">
        <f>B13*E82</f>
        <v>153308.763486239</v>
      </c>
      <c r="G82" s="130" t="s">
        <v>102</v>
      </c>
      <c r="H82" s="106">
        <f>B7*E82</f>
        <v>47061.3055045872</v>
      </c>
      <c r="I82" s="52">
        <f>G9*E82</f>
        <v>91629.4</v>
      </c>
      <c r="K82" s="52">
        <f>B10*E82</f>
        <v>22183.7882568807</v>
      </c>
    </row>
    <row r="83" ht="18" customHeight="1" spans="3:7">
      <c r="C83" s="5"/>
      <c r="G83" s="130" t="s">
        <v>103</v>
      </c>
    </row>
    <row r="84" ht="18" customHeight="1" spans="3:9">
      <c r="C84" s="5"/>
      <c r="E84" s="25" t="s">
        <v>87</v>
      </c>
      <c r="F84" s="23" t="s">
        <v>16</v>
      </c>
      <c r="G84" s="24" t="s">
        <v>104</v>
      </c>
      <c r="H84" s="15"/>
      <c r="I84" s="27" t="s">
        <v>105</v>
      </c>
    </row>
    <row r="85" ht="18" customHeight="1" spans="3:9">
      <c r="C85" s="5"/>
      <c r="E85" s="32" t="s">
        <v>94</v>
      </c>
      <c r="F85" s="25" t="s">
        <v>95</v>
      </c>
      <c r="G85" s="123">
        <f>F17+F18</f>
        <v>115191.16</v>
      </c>
      <c r="H85" s="15"/>
      <c r="I85" s="27">
        <f>F23</f>
        <v>37734.51</v>
      </c>
    </row>
    <row r="86" spans="3:9">
      <c r="C86" s="5"/>
      <c r="E86" s="88" t="s">
        <v>98</v>
      </c>
      <c r="F86" s="17">
        <v>0.05</v>
      </c>
      <c r="G86" s="27">
        <f>G85*E75</f>
        <v>5759.558</v>
      </c>
      <c r="H86" s="15"/>
      <c r="I86" s="27">
        <f>I85*E75</f>
        <v>1886.7255</v>
      </c>
    </row>
    <row r="87" spans="3:9">
      <c r="C87" s="5"/>
      <c r="E87" s="88" t="s">
        <v>99</v>
      </c>
      <c r="F87" s="17">
        <v>0.03</v>
      </c>
      <c r="G87" s="27">
        <f>G85*E76</f>
        <v>3455.7348</v>
      </c>
      <c r="H87" s="15"/>
      <c r="I87" s="27">
        <f>I85*E76</f>
        <v>1132.0353</v>
      </c>
    </row>
    <row r="88" spans="3:9">
      <c r="C88" s="5"/>
      <c r="E88" s="88" t="s">
        <v>100</v>
      </c>
      <c r="F88" s="17">
        <v>0.02</v>
      </c>
      <c r="G88" s="27">
        <f>G85*E77</f>
        <v>2303.8232</v>
      </c>
      <c r="H88" s="15"/>
      <c r="I88" s="27">
        <f>I85*E77</f>
        <v>754.6902</v>
      </c>
    </row>
    <row r="89" spans="3:9">
      <c r="C89" s="5"/>
      <c r="E89" s="34" t="s">
        <v>101</v>
      </c>
      <c r="F89" s="32"/>
      <c r="G89" s="123">
        <f>SUM(G85:G88)</f>
        <v>126710.276</v>
      </c>
      <c r="H89" s="15"/>
      <c r="I89" s="137">
        <f>SUM(I85:I88)</f>
        <v>41507.961</v>
      </c>
    </row>
    <row r="90" spans="3:9">
      <c r="C90" s="5"/>
      <c r="G90" s="80" t="s">
        <v>106</v>
      </c>
      <c r="I90" s="80" t="s">
        <v>107</v>
      </c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</sheetData>
  <protectedRanges>
    <protectedRange sqref="I19" name="区域1"/>
  </protectedRanges>
  <autoFilter ref="A15:R10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topLeftCell="A64" workbookViewId="0">
      <selection activeCell="K85" sqref="K85"/>
    </sheetView>
  </sheetViews>
  <sheetFormatPr defaultColWidth="9" defaultRowHeight="11.25"/>
  <cols>
    <col min="1" max="1" width="10.75" style="5" customWidth="1"/>
    <col min="2" max="2" width="13.1333333333333" style="6" customWidth="1"/>
    <col min="3" max="3" width="6" style="7" customWidth="1"/>
    <col min="4" max="4" width="14.5" style="7" customWidth="1"/>
    <col min="5" max="5" width="6" style="7" customWidth="1"/>
    <col min="6" max="6" width="13.1333333333333" style="6" customWidth="1"/>
    <col min="7" max="7" width="15.5" style="6" customWidth="1"/>
    <col min="8" max="8" width="12.6333333333333" style="7" customWidth="1"/>
    <col min="9" max="9" width="13.8833333333333" style="6" customWidth="1"/>
    <col min="10" max="10" width="6.13333333333333" style="9" customWidth="1"/>
    <col min="11" max="11" width="31.5" style="10" customWidth="1"/>
    <col min="12" max="12" width="12.75" style="10" customWidth="1"/>
    <col min="13" max="13" width="8.38333333333333" style="10" customWidth="1"/>
    <col min="14" max="14" width="5.63333333333333" style="10" customWidth="1"/>
    <col min="15" max="15" width="9.63333333333333" style="10"/>
    <col min="16" max="17" width="9" style="10"/>
    <col min="18" max="18" width="10.3833333333333" style="10"/>
    <col min="19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2"/>
      <c r="L1" s="22"/>
    </row>
    <row r="2" ht="18" customHeight="1" spans="1:12">
      <c r="A2" s="13" t="s">
        <v>1</v>
      </c>
      <c r="B2" s="14">
        <v>43594</v>
      </c>
      <c r="C2" s="15" t="s">
        <v>2</v>
      </c>
      <c r="D2" s="16">
        <v>17098941</v>
      </c>
      <c r="E2" s="17" t="s">
        <v>3</v>
      </c>
      <c r="F2" s="18" t="s">
        <v>4</v>
      </c>
      <c r="G2" s="19" t="s">
        <v>5</v>
      </c>
      <c r="H2" s="112" t="s">
        <v>6</v>
      </c>
      <c r="I2" s="48"/>
      <c r="J2" s="49"/>
      <c r="K2" s="22"/>
      <c r="L2" s="22"/>
    </row>
    <row r="3" ht="18" customHeight="1" spans="1:12">
      <c r="A3" s="13" t="s">
        <v>7</v>
      </c>
      <c r="B3" s="21"/>
      <c r="C3" s="15" t="s">
        <v>8</v>
      </c>
      <c r="D3" s="15"/>
      <c r="H3" s="22"/>
      <c r="I3" s="50"/>
      <c r="J3" s="22"/>
      <c r="K3" s="22"/>
      <c r="L3" s="22"/>
    </row>
    <row r="4" ht="18" customHeight="1" spans="1:12">
      <c r="A4" s="5" t="s">
        <v>9</v>
      </c>
      <c r="H4" s="22"/>
      <c r="I4" s="50"/>
      <c r="J4" s="22"/>
      <c r="K4" s="22"/>
      <c r="L4" s="22"/>
    </row>
    <row r="5" ht="18" customHeight="1" spans="1:10">
      <c r="A5" s="23" t="s">
        <v>10</v>
      </c>
      <c r="B5" s="24" t="s">
        <v>11</v>
      </c>
      <c r="C5" s="23" t="s">
        <v>12</v>
      </c>
      <c r="D5" s="23"/>
      <c r="E5" s="23" t="s">
        <v>13</v>
      </c>
      <c r="F5" s="24"/>
      <c r="G5" s="24" t="s">
        <v>14</v>
      </c>
      <c r="H5" s="25" t="s">
        <v>15</v>
      </c>
      <c r="I5" s="24"/>
      <c r="J5" s="25"/>
    </row>
    <row r="6" ht="18" customHeight="1" spans="1:10">
      <c r="A6" s="23"/>
      <c r="B6" s="24"/>
      <c r="C6" s="23" t="s">
        <v>16</v>
      </c>
      <c r="D6" s="23" t="s">
        <v>17</v>
      </c>
      <c r="E6" s="23" t="s">
        <v>16</v>
      </c>
      <c r="F6" s="24" t="s">
        <v>17</v>
      </c>
      <c r="G6" s="24"/>
      <c r="H6" s="25" t="s">
        <v>18</v>
      </c>
      <c r="I6" s="24" t="s">
        <v>19</v>
      </c>
      <c r="J6" s="25" t="s">
        <v>20</v>
      </c>
    </row>
    <row r="7" ht="18" customHeight="1" spans="1:10">
      <c r="A7" s="26">
        <v>43679</v>
      </c>
      <c r="B7" s="27">
        <f t="shared" ref="B7:B12" si="0">G7/(1+C7+E7)</f>
        <v>2353065.27522936</v>
      </c>
      <c r="C7" s="28">
        <v>0.02</v>
      </c>
      <c r="D7" s="29">
        <f t="shared" ref="D7:D12" si="1">G7/(1+E7+C7)*C7</f>
        <v>47061.3055045872</v>
      </c>
      <c r="E7" s="28">
        <v>0.07</v>
      </c>
      <c r="F7" s="27">
        <f t="shared" ref="F7:F12" si="2">G7/(1+C7+E7)*E7</f>
        <v>164714.569266055</v>
      </c>
      <c r="G7" s="30">
        <v>2564841.15</v>
      </c>
      <c r="H7" s="26">
        <v>43682</v>
      </c>
      <c r="I7" s="27">
        <v>2564841.15</v>
      </c>
      <c r="J7" s="51" t="s">
        <v>21</v>
      </c>
    </row>
    <row r="8" ht="18" customHeight="1" spans="1:10">
      <c r="A8" s="26"/>
      <c r="B8" s="27"/>
      <c r="C8" s="28"/>
      <c r="D8" s="29"/>
      <c r="E8" s="28"/>
      <c r="F8" s="27"/>
      <c r="G8" s="30"/>
      <c r="H8" s="26">
        <v>43850</v>
      </c>
      <c r="I8" s="27">
        <v>3665176</v>
      </c>
      <c r="J8" s="51" t="s">
        <v>21</v>
      </c>
    </row>
    <row r="9" ht="18" customHeight="1" spans="1:10">
      <c r="A9" s="26">
        <v>43838</v>
      </c>
      <c r="B9" s="27">
        <f t="shared" si="0"/>
        <v>4203183.48623853</v>
      </c>
      <c r="C9" s="28">
        <v>0.02</v>
      </c>
      <c r="D9" s="29">
        <f t="shared" si="1"/>
        <v>84063.6697247706</v>
      </c>
      <c r="E9" s="31">
        <v>0.07</v>
      </c>
      <c r="F9" s="27">
        <f t="shared" si="2"/>
        <v>294222.844036697</v>
      </c>
      <c r="G9" s="30">
        <v>4581470</v>
      </c>
      <c r="H9" s="26">
        <v>43850</v>
      </c>
      <c r="I9" s="27">
        <v>916294</v>
      </c>
      <c r="J9" s="51" t="s">
        <v>22</v>
      </c>
    </row>
    <row r="10" ht="18" customHeight="1" spans="1:10">
      <c r="A10" s="26">
        <v>43962</v>
      </c>
      <c r="B10" s="27">
        <f t="shared" si="0"/>
        <v>1109189.41284404</v>
      </c>
      <c r="C10" s="31">
        <v>0.02</v>
      </c>
      <c r="D10" s="29">
        <f t="shared" si="1"/>
        <v>22183.7882568807</v>
      </c>
      <c r="E10" s="31">
        <v>0.07</v>
      </c>
      <c r="F10" s="27">
        <f t="shared" si="2"/>
        <v>77643.2588990826</v>
      </c>
      <c r="G10" s="30">
        <v>1209016.46</v>
      </c>
      <c r="H10" s="26">
        <v>43971</v>
      </c>
      <c r="I10" s="27">
        <v>1209016.46</v>
      </c>
      <c r="J10" s="51" t="s">
        <v>21</v>
      </c>
    </row>
    <row r="11" ht="18" customHeight="1" spans="1:10">
      <c r="A11" s="26">
        <v>44092</v>
      </c>
      <c r="B11" s="27">
        <f t="shared" si="0"/>
        <v>1667265.0733945</v>
      </c>
      <c r="C11" s="31">
        <v>0.02</v>
      </c>
      <c r="D11" s="29">
        <f t="shared" si="1"/>
        <v>33345.3014678899</v>
      </c>
      <c r="E11" s="31">
        <v>0.07</v>
      </c>
      <c r="F11" s="27">
        <f t="shared" si="2"/>
        <v>116708.555137615</v>
      </c>
      <c r="G11" s="30">
        <v>1817318.93</v>
      </c>
      <c r="H11" s="26"/>
      <c r="I11" s="27"/>
      <c r="J11" s="51"/>
    </row>
    <row r="12" ht="18" customHeight="1" spans="1:10">
      <c r="A12" s="26"/>
      <c r="B12" s="27">
        <f t="shared" si="0"/>
        <v>0</v>
      </c>
      <c r="C12" s="28">
        <v>0.02</v>
      </c>
      <c r="D12" s="29">
        <f t="shared" si="1"/>
        <v>0</v>
      </c>
      <c r="E12" s="31">
        <v>0.07</v>
      </c>
      <c r="F12" s="27">
        <f t="shared" si="2"/>
        <v>0</v>
      </c>
      <c r="G12" s="30"/>
      <c r="H12" s="26"/>
      <c r="I12" s="27"/>
      <c r="J12" s="51"/>
    </row>
    <row r="13" ht="18" customHeight="1" spans="1:10">
      <c r="A13" s="32" t="s">
        <v>23</v>
      </c>
      <c r="B13" s="121">
        <f t="shared" ref="B13:G13" si="3">SUM(B7:B12)</f>
        <v>9332703.24770642</v>
      </c>
      <c r="C13" s="113"/>
      <c r="D13" s="106">
        <f t="shared" si="3"/>
        <v>186654.064954128</v>
      </c>
      <c r="E13" s="113"/>
      <c r="F13" s="123">
        <f t="shared" si="3"/>
        <v>653289.22733945</v>
      </c>
      <c r="G13" s="106">
        <f t="shared" si="3"/>
        <v>10172646.54</v>
      </c>
      <c r="H13" s="52"/>
      <c r="I13" s="106">
        <f>SUM(I7:I12)</f>
        <v>8355327.61</v>
      </c>
      <c r="J13" s="52"/>
    </row>
    <row r="14" ht="18" customHeight="1" spans="1:12">
      <c r="A14" s="5" t="s">
        <v>24</v>
      </c>
      <c r="J14" s="7"/>
      <c r="K14" s="7"/>
      <c r="L14" s="9"/>
    </row>
    <row r="15" ht="18" customHeight="1" spans="1:15">
      <c r="A15" s="34" t="s">
        <v>25</v>
      </c>
      <c r="B15" s="24" t="s">
        <v>26</v>
      </c>
      <c r="C15" s="23" t="s">
        <v>27</v>
      </c>
      <c r="D15" s="23" t="s">
        <v>28</v>
      </c>
      <c r="E15" s="23" t="s">
        <v>16</v>
      </c>
      <c r="F15" s="24" t="s">
        <v>29</v>
      </c>
      <c r="G15" s="24" t="s">
        <v>14</v>
      </c>
      <c r="H15" s="23" t="s">
        <v>30</v>
      </c>
      <c r="I15" s="24" t="s">
        <v>31</v>
      </c>
      <c r="J15" s="23" t="s">
        <v>20</v>
      </c>
      <c r="K15" s="53" t="s">
        <v>32</v>
      </c>
      <c r="L15" s="25" t="s">
        <v>33</v>
      </c>
      <c r="M15" s="25" t="s">
        <v>34</v>
      </c>
      <c r="N15" s="25" t="s">
        <v>35</v>
      </c>
      <c r="O15" s="25" t="s">
        <v>36</v>
      </c>
    </row>
    <row r="16" customFormat="1" ht="18" customHeight="1" spans="1:15">
      <c r="A16" s="35">
        <v>43647</v>
      </c>
      <c r="B16" s="36">
        <f t="shared" ref="B16:B68" si="4">ROUND(G16/(1+E16),2)</f>
        <v>15389.05</v>
      </c>
      <c r="C16" s="23"/>
      <c r="D16" s="37" t="s">
        <v>37</v>
      </c>
      <c r="E16" s="38"/>
      <c r="F16" s="36">
        <f t="shared" ref="F16:F68" si="5">ROUND(G16/(1+E16)*E16,2)</f>
        <v>0</v>
      </c>
      <c r="G16" s="30">
        <v>15389.05</v>
      </c>
      <c r="H16" s="23"/>
      <c r="I16" s="24"/>
      <c r="J16" s="23"/>
      <c r="K16" s="53"/>
      <c r="L16" s="25"/>
      <c r="M16" s="25"/>
      <c r="N16" s="25"/>
      <c r="O16" s="25"/>
    </row>
    <row r="17" s="1" customFormat="1" ht="18" customHeight="1" spans="1:15">
      <c r="A17" s="35">
        <v>43678</v>
      </c>
      <c r="B17" s="36">
        <f t="shared" si="4"/>
        <v>619469.03</v>
      </c>
      <c r="C17" s="39"/>
      <c r="D17" s="37" t="s">
        <v>38</v>
      </c>
      <c r="E17" s="38">
        <v>0.13</v>
      </c>
      <c r="F17" s="36">
        <f t="shared" si="5"/>
        <v>80530.97</v>
      </c>
      <c r="G17" s="30">
        <v>700000</v>
      </c>
      <c r="H17" s="26">
        <v>43683</v>
      </c>
      <c r="I17" s="27">
        <v>700000</v>
      </c>
      <c r="J17" s="51" t="s">
        <v>21</v>
      </c>
      <c r="K17" s="54" t="s">
        <v>39</v>
      </c>
      <c r="L17" s="55" t="s">
        <v>40</v>
      </c>
      <c r="M17" s="56" t="s">
        <v>41</v>
      </c>
      <c r="N17" s="56" t="s">
        <v>42</v>
      </c>
      <c r="O17" s="55"/>
    </row>
    <row r="18" s="1" customFormat="1" ht="18" customHeight="1" spans="1:15">
      <c r="A18" s="35">
        <v>43678</v>
      </c>
      <c r="B18" s="36">
        <f t="shared" si="4"/>
        <v>1155339.81</v>
      </c>
      <c r="C18" s="39"/>
      <c r="D18" s="37" t="s">
        <v>38</v>
      </c>
      <c r="E18" s="38">
        <v>0.03</v>
      </c>
      <c r="F18" s="36">
        <f t="shared" si="5"/>
        <v>34660.19</v>
      </c>
      <c r="G18" s="30">
        <v>1190000</v>
      </c>
      <c r="H18" s="26">
        <v>43683</v>
      </c>
      <c r="I18" s="27">
        <v>1190000</v>
      </c>
      <c r="J18" s="51" t="s">
        <v>21</v>
      </c>
      <c r="K18" s="54" t="s">
        <v>43</v>
      </c>
      <c r="L18" s="55" t="s">
        <v>44</v>
      </c>
      <c r="M18" s="56"/>
      <c r="N18" s="56"/>
      <c r="O18" s="55"/>
    </row>
    <row r="19" s="1" customFormat="1" ht="18" customHeight="1" spans="1:15">
      <c r="A19" s="35">
        <v>43709</v>
      </c>
      <c r="B19" s="21">
        <f t="shared" si="4"/>
        <v>487699.12</v>
      </c>
      <c r="C19" s="39"/>
      <c r="D19" s="37" t="s">
        <v>38</v>
      </c>
      <c r="E19" s="38">
        <v>0.13</v>
      </c>
      <c r="F19" s="36">
        <f t="shared" si="5"/>
        <v>63400.88</v>
      </c>
      <c r="G19" s="30">
        <f>95700+99000*2+66000+92400+99000</f>
        <v>551100</v>
      </c>
      <c r="H19" s="26">
        <v>43718</v>
      </c>
      <c r="I19" s="57">
        <v>551100</v>
      </c>
      <c r="J19" s="51" t="s">
        <v>21</v>
      </c>
      <c r="K19" s="54" t="s">
        <v>39</v>
      </c>
      <c r="L19" s="55" t="s">
        <v>45</v>
      </c>
      <c r="M19" s="56" t="s">
        <v>41</v>
      </c>
      <c r="N19" s="56" t="s">
        <v>46</v>
      </c>
      <c r="O19" s="55"/>
    </row>
    <row r="20" s="1" customFormat="1" ht="18" customHeight="1" spans="1:15">
      <c r="A20" s="35">
        <v>43709</v>
      </c>
      <c r="B20" s="21">
        <f t="shared" si="4"/>
        <v>77981.65</v>
      </c>
      <c r="C20" s="39"/>
      <c r="D20" s="37" t="s">
        <v>38</v>
      </c>
      <c r="E20" s="38">
        <v>0.09</v>
      </c>
      <c r="F20" s="36">
        <f t="shared" si="5"/>
        <v>7018.35</v>
      </c>
      <c r="G20" s="30">
        <v>85000</v>
      </c>
      <c r="H20" s="26"/>
      <c r="I20" s="27"/>
      <c r="J20" s="51"/>
      <c r="K20" s="58" t="s">
        <v>47</v>
      </c>
      <c r="L20" s="55" t="s">
        <v>48</v>
      </c>
      <c r="M20" s="56"/>
      <c r="N20" s="56"/>
      <c r="O20" s="55"/>
    </row>
    <row r="21" s="1" customFormat="1" ht="18" customHeight="1" spans="1:15">
      <c r="A21" s="35"/>
      <c r="B21" s="21">
        <f t="shared" si="4"/>
        <v>0</v>
      </c>
      <c r="C21" s="39"/>
      <c r="D21" s="37"/>
      <c r="E21" s="38"/>
      <c r="F21" s="36">
        <f t="shared" si="5"/>
        <v>0</v>
      </c>
      <c r="G21" s="30"/>
      <c r="H21" s="26">
        <v>43851</v>
      </c>
      <c r="I21" s="27">
        <v>85000</v>
      </c>
      <c r="J21" s="51" t="s">
        <v>21</v>
      </c>
      <c r="K21" s="58" t="s">
        <v>49</v>
      </c>
      <c r="L21" s="55" t="s">
        <v>48</v>
      </c>
      <c r="M21" s="56"/>
      <c r="N21" s="56"/>
      <c r="O21" s="55"/>
    </row>
    <row r="22" s="1" customFormat="1" ht="18" customHeight="1" spans="1:15">
      <c r="A22" s="35">
        <v>43891</v>
      </c>
      <c r="B22" s="21">
        <f t="shared" si="4"/>
        <v>387610.62</v>
      </c>
      <c r="C22" s="39"/>
      <c r="D22" s="37" t="s">
        <v>38</v>
      </c>
      <c r="E22" s="38">
        <v>0.13</v>
      </c>
      <c r="F22" s="36">
        <f t="shared" si="5"/>
        <v>50389.38</v>
      </c>
      <c r="G22" s="30">
        <f>83422.36+92199+62519.24+99995.4+99864</f>
        <v>438000</v>
      </c>
      <c r="H22" s="26">
        <v>43852</v>
      </c>
      <c r="I22" s="27">
        <v>438000</v>
      </c>
      <c r="J22" s="51" t="s">
        <v>21</v>
      </c>
      <c r="K22" s="58" t="s">
        <v>50</v>
      </c>
      <c r="L22" s="55" t="s">
        <v>51</v>
      </c>
      <c r="M22" s="56"/>
      <c r="N22" s="69" t="s">
        <v>114</v>
      </c>
      <c r="O22" s="55"/>
    </row>
    <row r="23" s="1" customFormat="1" ht="18" customHeight="1" spans="1:15">
      <c r="A23" s="41">
        <v>43831</v>
      </c>
      <c r="B23" s="36">
        <f t="shared" si="4"/>
        <v>290265.49</v>
      </c>
      <c r="C23" s="42"/>
      <c r="D23" s="43" t="s">
        <v>38</v>
      </c>
      <c r="E23" s="38">
        <v>0.13</v>
      </c>
      <c r="F23" s="36">
        <f t="shared" si="5"/>
        <v>37734.51</v>
      </c>
      <c r="G23" s="30">
        <f>73800+82000+90200+82000</f>
        <v>328000</v>
      </c>
      <c r="H23" s="26">
        <v>43852</v>
      </c>
      <c r="I23" s="27">
        <v>328000</v>
      </c>
      <c r="J23" s="51" t="s">
        <v>21</v>
      </c>
      <c r="K23" s="58" t="s">
        <v>39</v>
      </c>
      <c r="L23" s="55" t="s">
        <v>52</v>
      </c>
      <c r="M23" s="56" t="s">
        <v>41</v>
      </c>
      <c r="N23" s="56" t="s">
        <v>41</v>
      </c>
      <c r="O23" s="55"/>
    </row>
    <row r="24" s="1" customFormat="1" ht="18" customHeight="1" spans="1:15">
      <c r="A24" s="35"/>
      <c r="B24" s="21">
        <f t="shared" si="4"/>
        <v>0</v>
      </c>
      <c r="C24" s="39"/>
      <c r="D24" s="37"/>
      <c r="E24" s="38"/>
      <c r="F24" s="36">
        <f t="shared" si="5"/>
        <v>0</v>
      </c>
      <c r="G24" s="30"/>
      <c r="H24" s="26">
        <v>43852</v>
      </c>
      <c r="I24" s="27">
        <v>916294</v>
      </c>
      <c r="J24" s="51" t="s">
        <v>22</v>
      </c>
      <c r="K24" s="58" t="s">
        <v>53</v>
      </c>
      <c r="L24" s="55" t="s">
        <v>54</v>
      </c>
      <c r="M24" s="56">
        <v>5138695.06</v>
      </c>
      <c r="N24" s="56"/>
      <c r="O24" s="55"/>
    </row>
    <row r="25" s="1" customFormat="1" ht="18" customHeight="1" spans="1:15">
      <c r="A25" s="35">
        <v>43891</v>
      </c>
      <c r="B25" s="21">
        <f t="shared" si="4"/>
        <v>2721460</v>
      </c>
      <c r="C25" s="39"/>
      <c r="D25" s="37" t="s">
        <v>37</v>
      </c>
      <c r="E25" s="38"/>
      <c r="F25" s="36">
        <f t="shared" si="5"/>
        <v>0</v>
      </c>
      <c r="G25" s="30">
        <f>100000*27+21460</f>
        <v>2721460</v>
      </c>
      <c r="H25" s="26">
        <v>43852</v>
      </c>
      <c r="I25" s="27">
        <v>980000</v>
      </c>
      <c r="J25" s="51" t="s">
        <v>21</v>
      </c>
      <c r="K25" s="58" t="s">
        <v>53</v>
      </c>
      <c r="L25" s="55" t="s">
        <v>54</v>
      </c>
      <c r="M25" s="56" t="s">
        <v>41</v>
      </c>
      <c r="N25" s="56"/>
      <c r="O25" s="55"/>
    </row>
    <row r="26" s="1" customFormat="1" ht="18" customHeight="1" spans="1:15">
      <c r="A26" s="35">
        <v>43891</v>
      </c>
      <c r="B26" s="21">
        <f t="shared" si="4"/>
        <v>240341.75</v>
      </c>
      <c r="C26" s="39"/>
      <c r="D26" s="37" t="s">
        <v>38</v>
      </c>
      <c r="E26" s="38">
        <v>0.03</v>
      </c>
      <c r="F26" s="36">
        <f t="shared" si="5"/>
        <v>7210.25</v>
      </c>
      <c r="G26" s="30">
        <f>7552+10000*24</f>
        <v>247552</v>
      </c>
      <c r="H26" s="26">
        <v>43852</v>
      </c>
      <c r="I26" s="27">
        <v>527552</v>
      </c>
      <c r="J26" s="51" t="s">
        <v>21</v>
      </c>
      <c r="K26" s="54" t="s">
        <v>43</v>
      </c>
      <c r="L26" s="55" t="s">
        <v>44</v>
      </c>
      <c r="M26" s="56"/>
      <c r="N26" s="56"/>
      <c r="O26" s="55"/>
    </row>
    <row r="27" s="1" customFormat="1" ht="18" customHeight="1" spans="1:15">
      <c r="A27" s="35"/>
      <c r="B27" s="21">
        <f t="shared" si="4"/>
        <v>0</v>
      </c>
      <c r="C27" s="39"/>
      <c r="D27" s="37"/>
      <c r="E27" s="38"/>
      <c r="F27" s="36">
        <f t="shared" si="5"/>
        <v>0</v>
      </c>
      <c r="G27" s="30"/>
      <c r="H27" s="26">
        <v>43900</v>
      </c>
      <c r="I27" s="27">
        <v>823772</v>
      </c>
      <c r="J27" s="51" t="s">
        <v>21</v>
      </c>
      <c r="K27" s="58" t="s">
        <v>53</v>
      </c>
      <c r="L27" s="55" t="s">
        <v>54</v>
      </c>
      <c r="M27" s="56" t="s">
        <v>41</v>
      </c>
      <c r="N27" s="56"/>
      <c r="O27" s="55"/>
    </row>
    <row r="28" s="1" customFormat="1" ht="18" customHeight="1" spans="1:15">
      <c r="A28" s="35"/>
      <c r="B28" s="21">
        <f t="shared" si="4"/>
        <v>0</v>
      </c>
      <c r="C28" s="39"/>
      <c r="D28" s="37"/>
      <c r="E28" s="38"/>
      <c r="F28" s="36">
        <f t="shared" si="5"/>
        <v>0</v>
      </c>
      <c r="G28" s="30"/>
      <c r="H28" s="26">
        <v>43972</v>
      </c>
      <c r="I28" s="27">
        <v>901394</v>
      </c>
      <c r="J28" s="51" t="s">
        <v>21</v>
      </c>
      <c r="K28" s="58" t="s">
        <v>53</v>
      </c>
      <c r="L28" s="55" t="s">
        <v>54</v>
      </c>
      <c r="M28" s="56" t="s">
        <v>41</v>
      </c>
      <c r="N28" s="56"/>
      <c r="O28" s="55"/>
    </row>
    <row r="29" s="1" customFormat="1" ht="18" customHeight="1" spans="1:15">
      <c r="A29" s="35"/>
      <c r="B29" s="21">
        <f t="shared" si="4"/>
        <v>0</v>
      </c>
      <c r="C29" s="39"/>
      <c r="D29" s="37"/>
      <c r="E29" s="38"/>
      <c r="F29" s="36">
        <f t="shared" si="5"/>
        <v>0</v>
      </c>
      <c r="G29" s="30"/>
      <c r="H29" s="26"/>
      <c r="I29" s="27"/>
      <c r="J29" s="51" t="s">
        <v>21</v>
      </c>
      <c r="K29" s="58" t="s">
        <v>39</v>
      </c>
      <c r="L29" s="55" t="s">
        <v>55</v>
      </c>
      <c r="M29" s="56"/>
      <c r="N29" s="56"/>
      <c r="O29" s="55"/>
    </row>
    <row r="30" s="1" customFormat="1" ht="18" customHeight="1" spans="1:15">
      <c r="A30" s="35">
        <v>43972</v>
      </c>
      <c r="B30" s="21">
        <f t="shared" si="4"/>
        <v>900000</v>
      </c>
      <c r="C30" s="39"/>
      <c r="D30" s="37" t="s">
        <v>37</v>
      </c>
      <c r="E30" s="38"/>
      <c r="F30" s="36">
        <f t="shared" si="5"/>
        <v>0</v>
      </c>
      <c r="G30" s="30">
        <v>900000</v>
      </c>
      <c r="H30" s="26"/>
      <c r="I30" s="27"/>
      <c r="J30" s="51"/>
      <c r="K30" s="58" t="s">
        <v>53</v>
      </c>
      <c r="L30" s="55" t="s">
        <v>54</v>
      </c>
      <c r="M30" s="56"/>
      <c r="N30" s="56"/>
      <c r="O30" s="55"/>
    </row>
    <row r="31" s="1" customFormat="1" ht="18" customHeight="1" spans="1:15">
      <c r="A31" s="35" t="s">
        <v>117</v>
      </c>
      <c r="B31" s="21">
        <f t="shared" si="4"/>
        <v>198320</v>
      </c>
      <c r="C31" s="39">
        <v>4</v>
      </c>
      <c r="D31" s="37" t="s">
        <v>56</v>
      </c>
      <c r="E31" s="38"/>
      <c r="F31" s="36">
        <f t="shared" si="5"/>
        <v>0</v>
      </c>
      <c r="G31" s="30">
        <v>198320</v>
      </c>
      <c r="H31" s="26">
        <v>43984</v>
      </c>
      <c r="I31" s="27">
        <v>198320</v>
      </c>
      <c r="J31" s="51" t="s">
        <v>57</v>
      </c>
      <c r="K31" s="58" t="s">
        <v>58</v>
      </c>
      <c r="L31" s="55" t="s">
        <v>110</v>
      </c>
      <c r="M31" s="56"/>
      <c r="N31" s="69" t="s">
        <v>114</v>
      </c>
      <c r="O31" s="55"/>
    </row>
    <row r="32" s="1" customFormat="1" ht="18" customHeight="1" spans="1:15">
      <c r="A32" s="35" t="s">
        <v>118</v>
      </c>
      <c r="B32" s="21">
        <f t="shared" si="4"/>
        <v>199640</v>
      </c>
      <c r="C32" s="39">
        <v>4</v>
      </c>
      <c r="D32" s="37" t="s">
        <v>108</v>
      </c>
      <c r="E32" s="38"/>
      <c r="F32" s="36">
        <f t="shared" si="5"/>
        <v>0</v>
      </c>
      <c r="G32" s="30">
        <f>49910*4</f>
        <v>199640</v>
      </c>
      <c r="H32" s="45"/>
      <c r="I32" s="65"/>
      <c r="J32" s="66"/>
      <c r="K32" s="67" t="s">
        <v>109</v>
      </c>
      <c r="L32" s="68" t="s">
        <v>110</v>
      </c>
      <c r="M32" s="56" t="s">
        <v>41</v>
      </c>
      <c r="N32" s="56" t="s">
        <v>41</v>
      </c>
      <c r="O32" s="55"/>
    </row>
    <row r="33" s="1" customFormat="1" ht="18" customHeight="1" spans="1:15">
      <c r="A33" s="35"/>
      <c r="B33" s="21">
        <f t="shared" si="4"/>
        <v>0</v>
      </c>
      <c r="C33" s="39"/>
      <c r="D33" s="37"/>
      <c r="E33" s="38"/>
      <c r="F33" s="36">
        <f t="shared" si="5"/>
        <v>0</v>
      </c>
      <c r="G33" s="30"/>
      <c r="H33" s="45">
        <v>44020</v>
      </c>
      <c r="I33" s="65">
        <v>49910</v>
      </c>
      <c r="J33" s="66" t="s">
        <v>57</v>
      </c>
      <c r="K33" s="67" t="s">
        <v>111</v>
      </c>
      <c r="L33" s="68"/>
      <c r="M33" s="56"/>
      <c r="N33" s="69"/>
      <c r="O33" s="55"/>
    </row>
    <row r="34" s="1" customFormat="1" ht="18" customHeight="1" spans="1:15">
      <c r="A34" s="35"/>
      <c r="B34" s="21">
        <f t="shared" si="4"/>
        <v>0</v>
      </c>
      <c r="C34" s="39"/>
      <c r="D34" s="37"/>
      <c r="E34" s="38"/>
      <c r="F34" s="36">
        <f t="shared" si="5"/>
        <v>0</v>
      </c>
      <c r="G34" s="30"/>
      <c r="H34" s="45">
        <v>44020</v>
      </c>
      <c r="I34" s="65">
        <v>49910</v>
      </c>
      <c r="J34" s="66" t="s">
        <v>57</v>
      </c>
      <c r="K34" s="67" t="s">
        <v>112</v>
      </c>
      <c r="L34" s="68"/>
      <c r="M34" s="56"/>
      <c r="N34" s="69"/>
      <c r="O34" s="55"/>
    </row>
    <row r="35" s="1" customFormat="1" ht="18" customHeight="1" spans="5:15">
      <c r="E35" s="38"/>
      <c r="F35" s="36">
        <f t="shared" si="5"/>
        <v>0</v>
      </c>
      <c r="G35" s="30"/>
      <c r="H35" s="46">
        <v>44050</v>
      </c>
      <c r="I35" s="70">
        <v>49910</v>
      </c>
      <c r="J35" s="71" t="s">
        <v>57</v>
      </c>
      <c r="K35" s="72" t="s">
        <v>115</v>
      </c>
      <c r="L35" s="68"/>
      <c r="M35" s="56"/>
      <c r="N35" s="69"/>
      <c r="O35" s="55"/>
    </row>
    <row r="36" s="1" customFormat="1" ht="18" customHeight="1" spans="1:15">
      <c r="A36" s="35" t="s">
        <v>119</v>
      </c>
      <c r="B36" s="21">
        <f t="shared" si="4"/>
        <v>199640</v>
      </c>
      <c r="C36" s="39">
        <v>4</v>
      </c>
      <c r="D36" s="37" t="s">
        <v>108</v>
      </c>
      <c r="E36" s="38"/>
      <c r="F36" s="36">
        <f t="shared" si="5"/>
        <v>0</v>
      </c>
      <c r="G36" s="30">
        <v>199640</v>
      </c>
      <c r="H36" s="45"/>
      <c r="I36" s="65"/>
      <c r="J36" s="66"/>
      <c r="K36" s="67" t="s">
        <v>109</v>
      </c>
      <c r="L36" s="68" t="s">
        <v>120</v>
      </c>
      <c r="M36" s="56"/>
      <c r="N36" s="56" t="s">
        <v>114</v>
      </c>
      <c r="O36" s="55"/>
    </row>
    <row r="37" s="1" customFormat="1" ht="18" customHeight="1" spans="1:15">
      <c r="A37" s="35" t="s">
        <v>121</v>
      </c>
      <c r="B37" s="21">
        <f t="shared" si="4"/>
        <v>199640</v>
      </c>
      <c r="C37" s="39">
        <v>4</v>
      </c>
      <c r="D37" s="37" t="s">
        <v>108</v>
      </c>
      <c r="E37" s="38"/>
      <c r="F37" s="36">
        <f t="shared" si="5"/>
        <v>0</v>
      </c>
      <c r="G37" s="30">
        <v>199640</v>
      </c>
      <c r="H37" s="45"/>
      <c r="I37" s="65"/>
      <c r="J37" s="66"/>
      <c r="K37" s="67" t="s">
        <v>109</v>
      </c>
      <c r="L37" s="68" t="s">
        <v>120</v>
      </c>
      <c r="M37" s="56"/>
      <c r="N37" s="56" t="s">
        <v>114</v>
      </c>
      <c r="O37" s="55"/>
    </row>
    <row r="38" s="1" customFormat="1" ht="18" customHeight="1" spans="1:15">
      <c r="A38" s="35" t="s">
        <v>122</v>
      </c>
      <c r="B38" s="21">
        <v>199640</v>
      </c>
      <c r="C38" s="39">
        <v>4</v>
      </c>
      <c r="D38" s="37" t="s">
        <v>108</v>
      </c>
      <c r="E38" s="38"/>
      <c r="F38" s="36">
        <f t="shared" si="5"/>
        <v>0</v>
      </c>
      <c r="G38" s="30">
        <v>199640</v>
      </c>
      <c r="H38" s="45"/>
      <c r="I38" s="65"/>
      <c r="J38" s="66"/>
      <c r="K38" s="67" t="s">
        <v>109</v>
      </c>
      <c r="L38" s="68" t="s">
        <v>120</v>
      </c>
      <c r="M38" s="56"/>
      <c r="N38" s="56" t="s">
        <v>114</v>
      </c>
      <c r="O38" s="55"/>
    </row>
    <row r="39" s="1" customFormat="1" ht="18" customHeight="1" spans="1:15">
      <c r="A39" s="35"/>
      <c r="B39" s="21">
        <f t="shared" si="4"/>
        <v>0</v>
      </c>
      <c r="C39" s="39"/>
      <c r="D39" s="37"/>
      <c r="E39" s="38"/>
      <c r="F39" s="36">
        <f t="shared" si="5"/>
        <v>0</v>
      </c>
      <c r="G39" s="30"/>
      <c r="H39" s="45"/>
      <c r="I39" s="65"/>
      <c r="J39" s="66"/>
      <c r="K39" s="67"/>
      <c r="L39" s="68"/>
      <c r="M39" s="56"/>
      <c r="N39" s="56"/>
      <c r="O39" s="55"/>
    </row>
    <row r="40" s="1" customFormat="1" ht="18" customHeight="1" spans="1:15">
      <c r="A40" s="35"/>
      <c r="B40" s="21">
        <f t="shared" si="4"/>
        <v>0</v>
      </c>
      <c r="C40" s="39"/>
      <c r="D40" s="37"/>
      <c r="E40" s="38"/>
      <c r="F40" s="36">
        <f t="shared" si="5"/>
        <v>0</v>
      </c>
      <c r="G40" s="30"/>
      <c r="H40" s="46" t="s">
        <v>116</v>
      </c>
      <c r="I40" s="70">
        <v>50</v>
      </c>
      <c r="J40" s="71" t="s">
        <v>59</v>
      </c>
      <c r="K40" s="72" t="s">
        <v>60</v>
      </c>
      <c r="L40" s="68"/>
      <c r="M40" s="56"/>
      <c r="N40" s="56"/>
      <c r="O40" s="55"/>
    </row>
    <row r="41" s="1" customFormat="1" ht="18" customHeight="1" spans="1:15">
      <c r="A41" s="35"/>
      <c r="B41" s="21">
        <f t="shared" si="4"/>
        <v>0</v>
      </c>
      <c r="C41" s="39"/>
      <c r="D41" s="37"/>
      <c r="E41" s="38"/>
      <c r="F41" s="36">
        <f t="shared" si="5"/>
        <v>0</v>
      </c>
      <c r="G41" s="30"/>
      <c r="H41" s="45" t="s">
        <v>113</v>
      </c>
      <c r="I41" s="65">
        <v>100</v>
      </c>
      <c r="J41" s="66" t="s">
        <v>59</v>
      </c>
      <c r="K41" s="67" t="s">
        <v>60</v>
      </c>
      <c r="L41" s="68"/>
      <c r="M41" s="56"/>
      <c r="N41" s="56"/>
      <c r="O41" s="55"/>
    </row>
    <row r="42" s="1" customFormat="1" ht="18" customHeight="1" spans="1:15">
      <c r="A42" s="35"/>
      <c r="B42" s="21">
        <f t="shared" si="4"/>
        <v>0</v>
      </c>
      <c r="C42" s="39"/>
      <c r="D42" s="37"/>
      <c r="E42" s="38"/>
      <c r="F42" s="36">
        <f t="shared" si="5"/>
        <v>0</v>
      </c>
      <c r="G42" s="30"/>
      <c r="H42" s="45">
        <v>43984</v>
      </c>
      <c r="I42" s="65">
        <v>200</v>
      </c>
      <c r="J42" s="66" t="s">
        <v>59</v>
      </c>
      <c r="K42" s="67" t="s">
        <v>60</v>
      </c>
      <c r="L42" s="68"/>
      <c r="M42" s="56"/>
      <c r="N42" s="56"/>
      <c r="O42" s="55"/>
    </row>
    <row r="43" s="1" customFormat="1" ht="18" customHeight="1" spans="1:15">
      <c r="A43" s="35"/>
      <c r="B43" s="21">
        <f t="shared" si="4"/>
        <v>0</v>
      </c>
      <c r="C43" s="39"/>
      <c r="D43" s="37"/>
      <c r="E43" s="38"/>
      <c r="F43" s="36">
        <f t="shared" si="5"/>
        <v>0</v>
      </c>
      <c r="G43" s="30"/>
      <c r="H43" s="26">
        <v>43984</v>
      </c>
      <c r="I43" s="27">
        <f>-(I54+I51+I47)</f>
        <v>-178666.95</v>
      </c>
      <c r="J43" s="51" t="s">
        <v>61</v>
      </c>
      <c r="K43" s="54" t="s">
        <v>62</v>
      </c>
      <c r="L43" s="55"/>
      <c r="M43" s="56"/>
      <c r="N43" s="56"/>
      <c r="O43" s="55"/>
    </row>
    <row r="44" s="1" customFormat="1" ht="18" customHeight="1" spans="1:15">
      <c r="A44" s="35"/>
      <c r="B44" s="21">
        <f t="shared" si="4"/>
        <v>0</v>
      </c>
      <c r="C44" s="39"/>
      <c r="D44" s="37"/>
      <c r="E44" s="38"/>
      <c r="F44" s="36">
        <f t="shared" si="5"/>
        <v>0</v>
      </c>
      <c r="G44" s="30"/>
      <c r="H44" s="26">
        <v>43984</v>
      </c>
      <c r="I44" s="70">
        <v>22048</v>
      </c>
      <c r="J44" s="51" t="s">
        <v>59</v>
      </c>
      <c r="K44" s="54" t="s">
        <v>63</v>
      </c>
      <c r="L44" s="55"/>
      <c r="M44" s="56"/>
      <c r="N44" s="56"/>
      <c r="O44" s="55"/>
    </row>
    <row r="45" s="1" customFormat="1" ht="18" customHeight="1" spans="1:15">
      <c r="A45" s="35"/>
      <c r="B45" s="21">
        <f t="shared" si="4"/>
        <v>0</v>
      </c>
      <c r="C45" s="39"/>
      <c r="D45" s="37"/>
      <c r="E45" s="38"/>
      <c r="F45" s="36">
        <f t="shared" si="5"/>
        <v>0</v>
      </c>
      <c r="G45" s="30"/>
      <c r="H45" s="26">
        <v>43972</v>
      </c>
      <c r="I45" s="27">
        <v>100</v>
      </c>
      <c r="J45" s="51" t="s">
        <v>59</v>
      </c>
      <c r="K45" s="54" t="s">
        <v>60</v>
      </c>
      <c r="L45" s="55"/>
      <c r="M45" s="56"/>
      <c r="N45" s="56"/>
      <c r="O45" s="55"/>
    </row>
    <row r="46" s="1" customFormat="1" ht="18" customHeight="1" spans="1:15">
      <c r="A46" s="35"/>
      <c r="B46" s="21">
        <f t="shared" si="4"/>
        <v>0</v>
      </c>
      <c r="C46" s="39"/>
      <c r="D46" s="37"/>
      <c r="E46" s="38"/>
      <c r="F46" s="36">
        <f t="shared" si="5"/>
        <v>0</v>
      </c>
      <c r="G46" s="30"/>
      <c r="H46" s="26">
        <v>43972</v>
      </c>
      <c r="I46" s="27">
        <v>9000</v>
      </c>
      <c r="J46" s="51" t="s">
        <v>59</v>
      </c>
      <c r="K46" s="54" t="s">
        <v>64</v>
      </c>
      <c r="L46" s="55"/>
      <c r="M46" s="56"/>
      <c r="N46" s="56"/>
      <c r="O46" s="55"/>
    </row>
    <row r="47" s="1" customFormat="1" ht="18" customHeight="1" spans="1:15">
      <c r="A47" s="35"/>
      <c r="B47" s="21">
        <f t="shared" si="4"/>
        <v>0</v>
      </c>
      <c r="C47" s="39"/>
      <c r="D47" s="37"/>
      <c r="E47" s="38"/>
      <c r="F47" s="36">
        <f t="shared" si="5"/>
        <v>0</v>
      </c>
      <c r="G47" s="30"/>
      <c r="H47" s="26">
        <v>43972</v>
      </c>
      <c r="I47" s="27">
        <v>156769.95</v>
      </c>
      <c r="J47" s="51" t="s">
        <v>65</v>
      </c>
      <c r="K47" s="54" t="s">
        <v>66</v>
      </c>
      <c r="L47" s="55"/>
      <c r="M47" s="56"/>
      <c r="N47" s="56"/>
      <c r="O47" s="55"/>
    </row>
    <row r="48" s="1" customFormat="1" ht="18" customHeight="1" spans="1:15">
      <c r="A48" s="35"/>
      <c r="B48" s="21">
        <f t="shared" si="4"/>
        <v>0</v>
      </c>
      <c r="C48" s="39"/>
      <c r="D48" s="37"/>
      <c r="E48" s="38"/>
      <c r="F48" s="36">
        <f t="shared" si="5"/>
        <v>0</v>
      </c>
      <c r="G48" s="30"/>
      <c r="H48" s="26">
        <v>43972</v>
      </c>
      <c r="I48" s="27">
        <f>K79</f>
        <v>665.513647706422</v>
      </c>
      <c r="J48" s="51" t="s">
        <v>59</v>
      </c>
      <c r="K48" s="54" t="s">
        <v>67</v>
      </c>
      <c r="L48" s="55"/>
      <c r="M48" s="56"/>
      <c r="N48" s="56"/>
      <c r="O48" s="55"/>
    </row>
    <row r="49" s="1" customFormat="1" ht="18" customHeight="1" spans="1:15">
      <c r="A49" s="35"/>
      <c r="B49" s="21">
        <f t="shared" si="4"/>
        <v>0</v>
      </c>
      <c r="C49" s="39"/>
      <c r="D49" s="37"/>
      <c r="E49" s="38"/>
      <c r="F49" s="36">
        <f t="shared" si="5"/>
        <v>0</v>
      </c>
      <c r="G49" s="30"/>
      <c r="H49" s="26">
        <v>43972</v>
      </c>
      <c r="I49" s="27">
        <f>B10*0.02</f>
        <v>22183.7882568807</v>
      </c>
      <c r="J49" s="51" t="s">
        <v>59</v>
      </c>
      <c r="K49" s="54" t="s">
        <v>68</v>
      </c>
      <c r="L49" s="55"/>
      <c r="M49" s="56"/>
      <c r="N49" s="56"/>
      <c r="O49" s="55"/>
    </row>
    <row r="50" s="1" customFormat="1" ht="18" customHeight="1" spans="1:15">
      <c r="A50" s="35"/>
      <c r="B50" s="21">
        <f t="shared" si="4"/>
        <v>0</v>
      </c>
      <c r="C50" s="39"/>
      <c r="D50" s="37"/>
      <c r="E50" s="38"/>
      <c r="F50" s="36">
        <f t="shared" si="5"/>
        <v>0</v>
      </c>
      <c r="G50" s="30"/>
      <c r="H50" s="26">
        <v>43900</v>
      </c>
      <c r="I50" s="27">
        <v>100</v>
      </c>
      <c r="J50" s="51" t="s">
        <v>59</v>
      </c>
      <c r="K50" s="54" t="s">
        <v>60</v>
      </c>
      <c r="L50" s="55"/>
      <c r="M50" s="56"/>
      <c r="N50" s="56"/>
      <c r="O50" s="55"/>
    </row>
    <row r="51" s="1" customFormat="1" ht="18" customHeight="1" spans="1:15">
      <c r="A51" s="35"/>
      <c r="B51" s="21">
        <f t="shared" si="4"/>
        <v>0</v>
      </c>
      <c r="C51" s="39"/>
      <c r="D51" s="37"/>
      <c r="E51" s="38"/>
      <c r="F51" s="36">
        <f t="shared" si="5"/>
        <v>0</v>
      </c>
      <c r="G51" s="30"/>
      <c r="H51" s="26">
        <v>43900</v>
      </c>
      <c r="I51" s="27">
        <v>-909920</v>
      </c>
      <c r="J51" s="51" t="s">
        <v>61</v>
      </c>
      <c r="K51" s="58" t="s">
        <v>69</v>
      </c>
      <c r="L51" s="55"/>
      <c r="M51" s="56"/>
      <c r="N51" s="56"/>
      <c r="O51" s="55"/>
    </row>
    <row r="52" s="1" customFormat="1" ht="18" customHeight="1" spans="1:15">
      <c r="A52" s="35"/>
      <c r="B52" s="21">
        <f t="shared" si="4"/>
        <v>0</v>
      </c>
      <c r="C52" s="39"/>
      <c r="D52" s="37"/>
      <c r="E52" s="38"/>
      <c r="F52" s="36">
        <f t="shared" si="5"/>
        <v>0</v>
      </c>
      <c r="G52" s="30"/>
      <c r="H52" s="26" t="s">
        <v>70</v>
      </c>
      <c r="I52" s="27">
        <v>200</v>
      </c>
      <c r="J52" s="51" t="s">
        <v>59</v>
      </c>
      <c r="K52" s="54" t="s">
        <v>60</v>
      </c>
      <c r="L52" s="55"/>
      <c r="M52" s="56"/>
      <c r="N52" s="56"/>
      <c r="O52" s="55"/>
    </row>
    <row r="53" s="1" customFormat="1" ht="18" customHeight="1" spans="1:15">
      <c r="A53" s="35"/>
      <c r="B53" s="21">
        <f t="shared" si="4"/>
        <v>0</v>
      </c>
      <c r="C53" s="39"/>
      <c r="D53" s="37"/>
      <c r="E53" s="74"/>
      <c r="F53" s="36">
        <f t="shared" si="5"/>
        <v>0</v>
      </c>
      <c r="G53" s="30"/>
      <c r="H53" s="26" t="s">
        <v>71</v>
      </c>
      <c r="I53" s="27">
        <v>150</v>
      </c>
      <c r="J53" s="51" t="s">
        <v>59</v>
      </c>
      <c r="K53" s="54" t="s">
        <v>60</v>
      </c>
      <c r="L53" s="55"/>
      <c r="M53" s="56"/>
      <c r="N53" s="56"/>
      <c r="O53" s="55"/>
    </row>
    <row r="54" s="1" customFormat="1" ht="18" customHeight="1" spans="1:15">
      <c r="A54" s="35"/>
      <c r="B54" s="21">
        <f t="shared" si="4"/>
        <v>0</v>
      </c>
      <c r="C54" s="39"/>
      <c r="D54" s="37"/>
      <c r="E54" s="74"/>
      <c r="F54" s="36">
        <f t="shared" si="5"/>
        <v>0</v>
      </c>
      <c r="G54" s="30"/>
      <c r="H54" s="26" t="s">
        <v>71</v>
      </c>
      <c r="I54" s="27">
        <v>931817</v>
      </c>
      <c r="J54" s="51" t="s">
        <v>65</v>
      </c>
      <c r="K54" s="54" t="s">
        <v>72</v>
      </c>
      <c r="L54" s="55"/>
      <c r="M54" s="56">
        <f>I54+I51+I47+I43</f>
        <v>0</v>
      </c>
      <c r="N54" s="56"/>
      <c r="O54" s="55"/>
    </row>
    <row r="55" s="1" customFormat="1" ht="18" customHeight="1" spans="1:15">
      <c r="A55" s="35"/>
      <c r="B55" s="21">
        <f t="shared" si="4"/>
        <v>0</v>
      </c>
      <c r="C55" s="39"/>
      <c r="D55" s="37"/>
      <c r="E55" s="74"/>
      <c r="F55" s="36">
        <f t="shared" si="5"/>
        <v>0</v>
      </c>
      <c r="G55" s="30"/>
      <c r="H55" s="26" t="s">
        <v>71</v>
      </c>
      <c r="I55" s="27">
        <v>91630</v>
      </c>
      <c r="J55" s="51" t="s">
        <v>59</v>
      </c>
      <c r="K55" s="54" t="s">
        <v>73</v>
      </c>
      <c r="L55" s="55"/>
      <c r="M55" s="56"/>
      <c r="N55" s="56"/>
      <c r="O55" s="55"/>
    </row>
    <row r="56" s="1" customFormat="1" ht="18" customHeight="1" spans="1:15">
      <c r="A56" s="35"/>
      <c r="B56" s="21">
        <f t="shared" si="4"/>
        <v>0</v>
      </c>
      <c r="C56" s="39"/>
      <c r="D56" s="37"/>
      <c r="E56" s="74"/>
      <c r="F56" s="36">
        <f t="shared" si="5"/>
        <v>0</v>
      </c>
      <c r="G56" s="30"/>
      <c r="H56" s="26" t="s">
        <v>71</v>
      </c>
      <c r="I56" s="27">
        <v>2522</v>
      </c>
      <c r="J56" s="51" t="s">
        <v>59</v>
      </c>
      <c r="K56" s="54" t="s">
        <v>67</v>
      </c>
      <c r="L56" s="55"/>
      <c r="M56" s="56"/>
      <c r="N56" s="56"/>
      <c r="O56" s="55"/>
    </row>
    <row r="57" s="1" customFormat="1" ht="18" customHeight="1" spans="1:15">
      <c r="A57" s="35"/>
      <c r="B57" s="21">
        <f t="shared" si="4"/>
        <v>0</v>
      </c>
      <c r="C57" s="39"/>
      <c r="D57" s="37"/>
      <c r="E57" s="74"/>
      <c r="F57" s="36">
        <f t="shared" si="5"/>
        <v>0</v>
      </c>
      <c r="G57" s="30"/>
      <c r="H57" s="26" t="s">
        <v>71</v>
      </c>
      <c r="I57" s="27">
        <v>200</v>
      </c>
      <c r="J57" s="51" t="s">
        <v>59</v>
      </c>
      <c r="K57" s="54" t="s">
        <v>60</v>
      </c>
      <c r="L57" s="55"/>
      <c r="M57" s="56"/>
      <c r="N57" s="56"/>
      <c r="O57" s="55"/>
    </row>
    <row r="58" s="1" customFormat="1" ht="18" customHeight="1" spans="1:15">
      <c r="A58" s="35"/>
      <c r="B58" s="21">
        <f t="shared" si="4"/>
        <v>0</v>
      </c>
      <c r="C58" s="39"/>
      <c r="D58" s="37"/>
      <c r="E58" s="74"/>
      <c r="F58" s="36">
        <f t="shared" si="5"/>
        <v>0</v>
      </c>
      <c r="G58" s="30"/>
      <c r="H58" s="26" t="s">
        <v>71</v>
      </c>
      <c r="I58" s="27">
        <v>9000</v>
      </c>
      <c r="J58" s="51" t="s">
        <v>59</v>
      </c>
      <c r="K58" s="54" t="s">
        <v>74</v>
      </c>
      <c r="L58" s="55"/>
      <c r="M58" s="56"/>
      <c r="N58" s="56"/>
      <c r="O58" s="55"/>
    </row>
    <row r="59" s="1" customFormat="1" ht="18" customHeight="1" spans="1:15">
      <c r="A59" s="35"/>
      <c r="B59" s="21">
        <f t="shared" si="4"/>
        <v>290682</v>
      </c>
      <c r="C59" s="39"/>
      <c r="D59" s="37"/>
      <c r="E59" s="74"/>
      <c r="F59" s="36">
        <f t="shared" si="5"/>
        <v>0</v>
      </c>
      <c r="G59" s="30">
        <v>290682</v>
      </c>
      <c r="H59" s="26" t="s">
        <v>71</v>
      </c>
      <c r="I59" s="27">
        <f>G59</f>
        <v>290682</v>
      </c>
      <c r="J59" s="51" t="s">
        <v>59</v>
      </c>
      <c r="K59" s="54" t="s">
        <v>75</v>
      </c>
      <c r="L59" s="55"/>
      <c r="M59" s="56"/>
      <c r="N59" s="56"/>
      <c r="O59" s="55"/>
    </row>
    <row r="60" s="1" customFormat="1" ht="18" customHeight="1" spans="1:15">
      <c r="A60" s="35"/>
      <c r="B60" s="21">
        <f t="shared" si="4"/>
        <v>0</v>
      </c>
      <c r="C60" s="39"/>
      <c r="D60" s="37"/>
      <c r="E60" s="74"/>
      <c r="F60" s="36">
        <f t="shared" si="5"/>
        <v>0</v>
      </c>
      <c r="G60" s="30"/>
      <c r="H60" s="26" t="s">
        <v>76</v>
      </c>
      <c r="I60" s="27">
        <v>3000</v>
      </c>
      <c r="J60" s="51" t="s">
        <v>59</v>
      </c>
      <c r="K60" s="54" t="s">
        <v>74</v>
      </c>
      <c r="L60" s="55"/>
      <c r="M60" s="56"/>
      <c r="N60" s="56"/>
      <c r="O60" s="55"/>
    </row>
    <row r="61" s="1" customFormat="1" ht="18" customHeight="1" spans="1:15">
      <c r="A61" s="35"/>
      <c r="B61" s="21">
        <f t="shared" si="4"/>
        <v>0</v>
      </c>
      <c r="C61" s="39"/>
      <c r="D61" s="37"/>
      <c r="E61" s="74"/>
      <c r="F61" s="36">
        <f t="shared" si="5"/>
        <v>0</v>
      </c>
      <c r="G61" s="30"/>
      <c r="H61" s="26" t="s">
        <v>76</v>
      </c>
      <c r="I61" s="27">
        <v>-563677</v>
      </c>
      <c r="J61" s="51" t="s">
        <v>61</v>
      </c>
      <c r="K61" s="54" t="s">
        <v>77</v>
      </c>
      <c r="L61" s="55"/>
      <c r="M61" s="56"/>
      <c r="N61" s="56"/>
      <c r="O61" s="55"/>
    </row>
    <row r="62" s="1" customFormat="1" ht="18" customHeight="1" spans="1:15">
      <c r="A62" s="35"/>
      <c r="B62" s="21">
        <f t="shared" si="4"/>
        <v>0</v>
      </c>
      <c r="C62" s="39"/>
      <c r="D62" s="37"/>
      <c r="E62" s="74"/>
      <c r="F62" s="36">
        <f t="shared" si="5"/>
        <v>0</v>
      </c>
      <c r="G62" s="30"/>
      <c r="H62" s="26" t="s">
        <v>76</v>
      </c>
      <c r="I62" s="27">
        <v>-181186</v>
      </c>
      <c r="J62" s="51" t="s">
        <v>78</v>
      </c>
      <c r="K62" s="54" t="s">
        <v>79</v>
      </c>
      <c r="L62" s="55"/>
      <c r="M62" s="56"/>
      <c r="N62" s="56"/>
      <c r="O62" s="55"/>
    </row>
    <row r="63" s="1" customFormat="1" ht="18" customHeight="1" spans="1:15">
      <c r="A63" s="35"/>
      <c r="B63" s="21">
        <f t="shared" si="4"/>
        <v>0</v>
      </c>
      <c r="C63" s="39"/>
      <c r="D63" s="37"/>
      <c r="E63" s="74"/>
      <c r="F63" s="21">
        <f t="shared" si="5"/>
        <v>0</v>
      </c>
      <c r="G63" s="30"/>
      <c r="H63" s="26" t="s">
        <v>76</v>
      </c>
      <c r="I63" s="70">
        <v>181186</v>
      </c>
      <c r="J63" s="51" t="s">
        <v>59</v>
      </c>
      <c r="K63" s="54" t="s">
        <v>63</v>
      </c>
      <c r="L63" s="55"/>
      <c r="M63" s="56"/>
      <c r="N63" s="56"/>
      <c r="O63" s="55"/>
    </row>
    <row r="64" s="1" customFormat="1" ht="18" customHeight="1" spans="1:15">
      <c r="A64" s="35"/>
      <c r="B64" s="21">
        <f t="shared" si="4"/>
        <v>0</v>
      </c>
      <c r="C64" s="39"/>
      <c r="D64" s="37"/>
      <c r="E64" s="74"/>
      <c r="F64" s="21">
        <f t="shared" si="5"/>
        <v>0</v>
      </c>
      <c r="G64" s="30"/>
      <c r="H64" s="26" t="s">
        <v>76</v>
      </c>
      <c r="I64" s="27">
        <v>563677</v>
      </c>
      <c r="J64" s="51" t="s">
        <v>65</v>
      </c>
      <c r="K64" s="54" t="s">
        <v>66</v>
      </c>
      <c r="L64" s="55"/>
      <c r="M64" s="56"/>
      <c r="N64" s="56"/>
      <c r="O64" s="55"/>
    </row>
    <row r="65" s="1" customFormat="1" ht="18" customHeight="1" spans="1:15">
      <c r="A65" s="35"/>
      <c r="B65" s="21">
        <f t="shared" si="4"/>
        <v>0</v>
      </c>
      <c r="C65" s="39"/>
      <c r="D65" s="37"/>
      <c r="E65" s="74"/>
      <c r="F65" s="21">
        <f t="shared" si="5"/>
        <v>0</v>
      </c>
      <c r="G65" s="30"/>
      <c r="H65" s="26" t="s">
        <v>76</v>
      </c>
      <c r="I65" s="27">
        <v>47062</v>
      </c>
      <c r="J65" s="51" t="s">
        <v>59</v>
      </c>
      <c r="K65" s="54" t="s">
        <v>80</v>
      </c>
      <c r="L65" s="55"/>
      <c r="M65" s="56"/>
      <c r="N65" s="56"/>
      <c r="O65" s="55"/>
    </row>
    <row r="66" s="1" customFormat="1" ht="18" customHeight="1" spans="1:15">
      <c r="A66" s="35"/>
      <c r="B66" s="21">
        <f t="shared" si="4"/>
        <v>0</v>
      </c>
      <c r="C66" s="39"/>
      <c r="D66" s="37"/>
      <c r="E66" s="74"/>
      <c r="F66" s="21">
        <f t="shared" si="5"/>
        <v>0</v>
      </c>
      <c r="G66" s="30"/>
      <c r="H66" s="26" t="s">
        <v>76</v>
      </c>
      <c r="I66" s="27">
        <v>1412</v>
      </c>
      <c r="J66" s="51" t="s">
        <v>59</v>
      </c>
      <c r="K66" s="54" t="s">
        <v>67</v>
      </c>
      <c r="L66" s="55"/>
      <c r="M66" s="56"/>
      <c r="N66" s="56"/>
      <c r="O66" s="55"/>
    </row>
    <row r="67" s="1" customFormat="1" ht="18" customHeight="1" spans="1:15">
      <c r="A67" s="35"/>
      <c r="B67" s="21">
        <f t="shared" si="4"/>
        <v>51296.82</v>
      </c>
      <c r="C67" s="39"/>
      <c r="D67" s="37"/>
      <c r="E67" s="74"/>
      <c r="F67" s="21">
        <f t="shared" si="5"/>
        <v>0</v>
      </c>
      <c r="G67" s="30">
        <f>I7*0.02</f>
        <v>51296.823</v>
      </c>
      <c r="H67" s="26" t="s">
        <v>76</v>
      </c>
      <c r="I67" s="27">
        <f>G67</f>
        <v>51296.823</v>
      </c>
      <c r="J67" s="51" t="s">
        <v>59</v>
      </c>
      <c r="K67" s="54" t="s">
        <v>81</v>
      </c>
      <c r="L67" s="55"/>
      <c r="M67" s="56"/>
      <c r="N67" s="56"/>
      <c r="O67" s="55"/>
    </row>
    <row r="68" s="111" customFormat="1" ht="45" customHeight="1" spans="1:15">
      <c r="A68" s="115"/>
      <c r="B68" s="116">
        <f t="shared" si="4"/>
        <v>0</v>
      </c>
      <c r="C68" s="117"/>
      <c r="D68" s="118"/>
      <c r="E68" s="119"/>
      <c r="F68" s="116">
        <f t="shared" si="5"/>
        <v>0</v>
      </c>
      <c r="G68" s="116"/>
      <c r="H68" s="120"/>
      <c r="I68" s="131"/>
      <c r="J68" s="132"/>
      <c r="K68" s="133" t="s">
        <v>82</v>
      </c>
      <c r="L68" s="134"/>
      <c r="M68" s="135"/>
      <c r="N68" s="135"/>
      <c r="O68" s="134"/>
    </row>
    <row r="69" ht="18" customHeight="1" spans="1:15">
      <c r="A69" s="113" t="s">
        <v>23</v>
      </c>
      <c r="B69" s="121">
        <f>SUM(B16:B68)</f>
        <v>8234415.34</v>
      </c>
      <c r="C69" s="113"/>
      <c r="D69" s="122"/>
      <c r="E69" s="122"/>
      <c r="F69" s="123">
        <f t="shared" ref="F69:I69" si="6">SUM(F17:F68)</f>
        <v>280944.53</v>
      </c>
      <c r="G69" s="124">
        <f t="shared" si="6"/>
        <v>8499970.823</v>
      </c>
      <c r="H69" s="125"/>
      <c r="I69" s="106">
        <f t="shared" si="6"/>
        <v>8340764.12490459</v>
      </c>
      <c r="J69" s="136"/>
      <c r="K69" s="122"/>
      <c r="L69" s="52"/>
      <c r="M69" s="51"/>
      <c r="N69" s="51"/>
      <c r="O69" s="52"/>
    </row>
    <row r="70" ht="18" customHeight="1" spans="1:14">
      <c r="A70" s="79" t="s">
        <v>83</v>
      </c>
      <c r="B70" s="80">
        <f>B13*0.92</f>
        <v>8586086.98788991</v>
      </c>
      <c r="C70" s="79"/>
      <c r="D70" s="81"/>
      <c r="E70" s="81"/>
      <c r="F70" s="80">
        <f t="shared" ref="F70:I70" si="7">F13-F69</f>
        <v>372344.69733945</v>
      </c>
      <c r="G70" s="80">
        <f t="shared" si="7"/>
        <v>1672675.717</v>
      </c>
      <c r="H70" s="25" t="s">
        <v>84</v>
      </c>
      <c r="I70" s="106">
        <f t="shared" si="7"/>
        <v>14563.4850954134</v>
      </c>
      <c r="J70" s="10"/>
      <c r="K70" s="107"/>
      <c r="M70" s="108"/>
      <c r="N70" s="108"/>
    </row>
    <row r="71" ht="18" customHeight="1" spans="1:14">
      <c r="A71" s="79" t="s">
        <v>85</v>
      </c>
      <c r="B71" s="80">
        <f>B70-B69</f>
        <v>351671.647889909</v>
      </c>
      <c r="C71" s="79"/>
      <c r="D71" s="81"/>
      <c r="E71" s="81"/>
      <c r="F71" s="80"/>
      <c r="G71" s="80"/>
      <c r="H71" s="82"/>
      <c r="I71" s="80"/>
      <c r="J71" s="10"/>
      <c r="K71" s="107"/>
      <c r="M71" s="108"/>
      <c r="N71" s="108"/>
    </row>
    <row r="72" ht="18" customHeight="1" spans="1:18">
      <c r="A72" s="5" t="s">
        <v>86</v>
      </c>
      <c r="C72" s="5"/>
      <c r="R72" s="10">
        <f>I51+I54+I61+I64</f>
        <v>21897</v>
      </c>
    </row>
    <row r="73" ht="18" customHeight="1" spans="1:15">
      <c r="A73" s="25" t="s">
        <v>87</v>
      </c>
      <c r="B73" s="24" t="s">
        <v>88</v>
      </c>
      <c r="C73" s="52"/>
      <c r="D73" s="25" t="s">
        <v>87</v>
      </c>
      <c r="E73" s="23" t="s">
        <v>16</v>
      </c>
      <c r="F73" s="24" t="s">
        <v>88</v>
      </c>
      <c r="G73" s="6" t="s">
        <v>89</v>
      </c>
      <c r="H73" s="126" t="s">
        <v>90</v>
      </c>
      <c r="I73" s="126" t="s">
        <v>91</v>
      </c>
      <c r="K73" s="24" t="s">
        <v>92</v>
      </c>
      <c r="M73" s="25" t="s">
        <v>123</v>
      </c>
      <c r="N73" s="25"/>
      <c r="O73" s="25"/>
    </row>
    <row r="74" ht="18" customHeight="1" spans="1:15">
      <c r="A74" s="52" t="s">
        <v>93</v>
      </c>
      <c r="B74" s="21">
        <f>(B70-B69)*0.25</f>
        <v>87917.9119724773</v>
      </c>
      <c r="C74" s="52"/>
      <c r="D74" s="32" t="s">
        <v>94</v>
      </c>
      <c r="E74" s="25" t="s">
        <v>95</v>
      </c>
      <c r="F74" s="123">
        <f>F13-F69</f>
        <v>372344.69733945</v>
      </c>
      <c r="G74" s="6">
        <f>F7</f>
        <v>164714.569266055</v>
      </c>
      <c r="H74" s="127">
        <f>F7</f>
        <v>164714.569266055</v>
      </c>
      <c r="I74" s="27">
        <f>F9-F19-F20</f>
        <v>223803.614036697</v>
      </c>
      <c r="K74" s="27">
        <f>F74-H74-I74+G85+I85</f>
        <v>136752.184036698</v>
      </c>
      <c r="M74" s="51">
        <f>F74-H74-I74-K74+G85+I85</f>
        <v>0</v>
      </c>
      <c r="N74" s="51"/>
      <c r="O74" s="51"/>
    </row>
    <row r="75" ht="18" customHeight="1" spans="1:15">
      <c r="A75" s="52" t="s">
        <v>96</v>
      </c>
      <c r="B75" s="87" t="s">
        <v>97</v>
      </c>
      <c r="C75" s="52"/>
      <c r="D75" s="88" t="s">
        <v>98</v>
      </c>
      <c r="E75" s="17">
        <v>0.05</v>
      </c>
      <c r="F75" s="27">
        <f>F74*E75</f>
        <v>18617.2348669725</v>
      </c>
      <c r="G75" s="6">
        <f>G74*E75</f>
        <v>8235.72846330275</v>
      </c>
      <c r="H75" s="128">
        <f>H74*E75</f>
        <v>8235.72846330275</v>
      </c>
      <c r="I75" s="27">
        <f>I74*E75</f>
        <v>11190.1807018348</v>
      </c>
      <c r="K75" s="27">
        <f>K74*E75</f>
        <v>6837.6092018349</v>
      </c>
      <c r="M75" s="51">
        <v>0</v>
      </c>
      <c r="N75" s="51"/>
      <c r="O75" s="51"/>
    </row>
    <row r="76" ht="18" customHeight="1" spans="1:15">
      <c r="A76" s="52" t="s">
        <v>67</v>
      </c>
      <c r="B76" s="87"/>
      <c r="C76" s="52"/>
      <c r="D76" s="88" t="s">
        <v>99</v>
      </c>
      <c r="E76" s="17">
        <v>0.03</v>
      </c>
      <c r="F76" s="27">
        <f>F74*E76</f>
        <v>11170.3409201835</v>
      </c>
      <c r="G76" s="6">
        <f>G74*E76</f>
        <v>4941.43707798165</v>
      </c>
      <c r="H76" s="128">
        <f>H74*E76</f>
        <v>4941.43707798165</v>
      </c>
      <c r="I76" s="27">
        <f>I74*E76</f>
        <v>6714.10842110091</v>
      </c>
      <c r="K76" s="27">
        <f>K74*E76</f>
        <v>4102.56552110094</v>
      </c>
      <c r="M76" s="51">
        <v>0</v>
      </c>
      <c r="N76" s="51"/>
      <c r="O76" s="51"/>
    </row>
    <row r="77" ht="18" customHeight="1" spans="1:15">
      <c r="A77" s="52"/>
      <c r="B77" s="27"/>
      <c r="C77" s="52"/>
      <c r="D77" s="88" t="s">
        <v>100</v>
      </c>
      <c r="E77" s="17">
        <v>0.02</v>
      </c>
      <c r="F77" s="27">
        <f>F74*E77</f>
        <v>7446.893946789</v>
      </c>
      <c r="G77" s="6">
        <f>G74*E77</f>
        <v>3294.2913853211</v>
      </c>
      <c r="H77" s="128">
        <f>H74*E77</f>
        <v>3294.2913853211</v>
      </c>
      <c r="I77" s="27">
        <f>I74*E77</f>
        <v>4476.07228073394</v>
      </c>
      <c r="K77" s="27">
        <f>K74*E77</f>
        <v>2735.04368073396</v>
      </c>
      <c r="M77" s="51" t="s">
        <v>123</v>
      </c>
      <c r="N77" s="51"/>
      <c r="O77" s="51"/>
    </row>
    <row r="78" ht="18" customHeight="1" spans="1:15">
      <c r="A78" s="32" t="s">
        <v>101</v>
      </c>
      <c r="B78" s="121">
        <f t="shared" ref="B78:I78" si="8">SUM(B74:B77)</f>
        <v>87917.9119724773</v>
      </c>
      <c r="C78" s="52"/>
      <c r="D78" s="34" t="s">
        <v>101</v>
      </c>
      <c r="E78" s="32"/>
      <c r="F78" s="123">
        <f t="shared" si="8"/>
        <v>409579.167073395</v>
      </c>
      <c r="G78" s="6">
        <f t="shared" si="8"/>
        <v>181186.026192661</v>
      </c>
      <c r="H78" s="127">
        <f t="shared" si="8"/>
        <v>181186.026192661</v>
      </c>
      <c r="I78" s="27">
        <f t="shared" si="8"/>
        <v>246183.975440367</v>
      </c>
      <c r="K78" s="27">
        <f>SUM(K74:K77)</f>
        <v>150427.402440368</v>
      </c>
      <c r="M78" s="51">
        <v>0</v>
      </c>
      <c r="N78" s="51"/>
      <c r="O78" s="51"/>
    </row>
    <row r="79" ht="18" customHeight="1" spans="3:15">
      <c r="C79" s="5"/>
      <c r="D79" s="15" t="s">
        <v>67</v>
      </c>
      <c r="E79" s="129">
        <v>0.0006</v>
      </c>
      <c r="F79" s="27">
        <f>B13*E79</f>
        <v>5599.62194862385</v>
      </c>
      <c r="H79" s="27">
        <f>B7*E79</f>
        <v>1411.83916513761</v>
      </c>
      <c r="I79" s="27">
        <f>B9*0.0006</f>
        <v>2521.91009174312</v>
      </c>
      <c r="K79" s="70">
        <f>B10*E79</f>
        <v>665.513647706422</v>
      </c>
      <c r="M79" s="51">
        <f>E79*B11</f>
        <v>1000.3590440367</v>
      </c>
      <c r="N79" s="51"/>
      <c r="O79" s="51"/>
    </row>
    <row r="80" ht="18" customHeight="1" spans="3:15">
      <c r="C80" s="5"/>
      <c r="D80" s="23" t="s">
        <v>101</v>
      </c>
      <c r="E80" s="122"/>
      <c r="F80" s="106">
        <f>F79</f>
        <v>5599.62194862385</v>
      </c>
      <c r="H80" s="106">
        <f>H79</f>
        <v>1411.83916513761</v>
      </c>
      <c r="I80" s="27"/>
      <c r="K80" s="52"/>
      <c r="M80" s="19">
        <f>M79</f>
        <v>1000.3590440367</v>
      </c>
      <c r="N80" s="19"/>
      <c r="O80" s="19"/>
    </row>
    <row r="81" ht="18" customHeight="1" spans="3:15">
      <c r="C81" s="5"/>
      <c r="D81" s="23" t="s">
        <v>23</v>
      </c>
      <c r="E81" s="113"/>
      <c r="F81" s="106">
        <f>F78+F80</f>
        <v>415178.789022019</v>
      </c>
      <c r="H81" s="106">
        <f>H78+H80</f>
        <v>182597.865357798</v>
      </c>
      <c r="I81" s="27"/>
      <c r="K81" s="52"/>
      <c r="M81" s="51"/>
      <c r="N81" s="51"/>
      <c r="O81" s="51"/>
    </row>
    <row r="82" ht="18" customHeight="1" spans="3:15">
      <c r="C82" s="5"/>
      <c r="D82" s="113" t="s">
        <v>93</v>
      </c>
      <c r="E82" s="122">
        <v>0.02</v>
      </c>
      <c r="F82" s="106">
        <f>B13*E82</f>
        <v>186654.064954128</v>
      </c>
      <c r="G82" s="130" t="s">
        <v>102</v>
      </c>
      <c r="H82" s="106">
        <f>B7*E82</f>
        <v>47061.3055045872</v>
      </c>
      <c r="I82" s="52">
        <f>G9*E82</f>
        <v>91629.4</v>
      </c>
      <c r="K82" s="52">
        <f>B10*E82</f>
        <v>22183.7882568807</v>
      </c>
      <c r="M82" s="51"/>
      <c r="N82" s="51"/>
      <c r="O82" s="51"/>
    </row>
    <row r="83" ht="18" customHeight="1" spans="3:7">
      <c r="C83" s="5"/>
      <c r="G83" s="130" t="s">
        <v>103</v>
      </c>
    </row>
    <row r="84" ht="18" customHeight="1" spans="3:9">
      <c r="C84" s="5"/>
      <c r="E84" s="25" t="s">
        <v>87</v>
      </c>
      <c r="F84" s="23" t="s">
        <v>16</v>
      </c>
      <c r="G84" s="24" t="s">
        <v>104</v>
      </c>
      <c r="H84" s="15"/>
      <c r="I84" s="27" t="s">
        <v>105</v>
      </c>
    </row>
    <row r="85" ht="18" customHeight="1" spans="3:9">
      <c r="C85" s="5"/>
      <c r="E85" s="32" t="s">
        <v>94</v>
      </c>
      <c r="F85" s="25" t="s">
        <v>95</v>
      </c>
      <c r="G85" s="123">
        <f>F17+F18</f>
        <v>115191.16</v>
      </c>
      <c r="H85" s="15"/>
      <c r="I85" s="27">
        <f>F23</f>
        <v>37734.51</v>
      </c>
    </row>
    <row r="86" spans="3:9">
      <c r="C86" s="5"/>
      <c r="E86" s="88" t="s">
        <v>98</v>
      </c>
      <c r="F86" s="17">
        <v>0.05</v>
      </c>
      <c r="G86" s="27">
        <f>G85*E75</f>
        <v>5759.558</v>
      </c>
      <c r="H86" s="15"/>
      <c r="I86" s="27">
        <f>I85*E75</f>
        <v>1886.7255</v>
      </c>
    </row>
    <row r="87" spans="3:9">
      <c r="C87" s="5"/>
      <c r="E87" s="88" t="s">
        <v>99</v>
      </c>
      <c r="F87" s="17">
        <v>0.03</v>
      </c>
      <c r="G87" s="27">
        <f>G85*E76</f>
        <v>3455.7348</v>
      </c>
      <c r="H87" s="15"/>
      <c r="I87" s="27">
        <f>I85*E76</f>
        <v>1132.0353</v>
      </c>
    </row>
    <row r="88" spans="3:9">
      <c r="C88" s="5"/>
      <c r="E88" s="88" t="s">
        <v>100</v>
      </c>
      <c r="F88" s="17">
        <v>0.02</v>
      </c>
      <c r="G88" s="27">
        <f>G85*E77</f>
        <v>2303.8232</v>
      </c>
      <c r="H88" s="15"/>
      <c r="I88" s="27">
        <f>I85*E77</f>
        <v>754.6902</v>
      </c>
    </row>
    <row r="89" spans="3:9">
      <c r="C89" s="5"/>
      <c r="E89" s="34" t="s">
        <v>101</v>
      </c>
      <c r="F89" s="32"/>
      <c r="G89" s="123">
        <f>SUM(G85:G88)</f>
        <v>126710.276</v>
      </c>
      <c r="H89" s="15"/>
      <c r="I89" s="137">
        <f>SUM(I85:I88)</f>
        <v>41507.961</v>
      </c>
    </row>
    <row r="90" spans="3:9">
      <c r="C90" s="5"/>
      <c r="G90" s="80" t="s">
        <v>106</v>
      </c>
      <c r="I90" s="80" t="s">
        <v>107</v>
      </c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</sheetData>
  <protectedRanges>
    <protectedRange sqref="I19" name="区域1"/>
  </protectedRanges>
  <autoFilter ref="A15:R100">
    <extLst/>
  </autoFilter>
  <mergeCells count="18">
    <mergeCell ref="A1:J1"/>
    <mergeCell ref="H2:J2"/>
    <mergeCell ref="C5:D5"/>
    <mergeCell ref="E5:F5"/>
    <mergeCell ref="H5:J5"/>
    <mergeCell ref="M73:O73"/>
    <mergeCell ref="M74:O74"/>
    <mergeCell ref="M75:O75"/>
    <mergeCell ref="M76:O76"/>
    <mergeCell ref="M77:O77"/>
    <mergeCell ref="M78:O78"/>
    <mergeCell ref="M79:O79"/>
    <mergeCell ref="M80:O80"/>
    <mergeCell ref="M81:O81"/>
    <mergeCell ref="M82:O82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3"/>
  <sheetViews>
    <sheetView topLeftCell="A46" workbookViewId="0">
      <selection activeCell="L50" sqref="L50"/>
    </sheetView>
  </sheetViews>
  <sheetFormatPr defaultColWidth="9" defaultRowHeight="11.25"/>
  <cols>
    <col min="1" max="1" width="10.75" style="5" customWidth="1"/>
    <col min="2" max="2" width="13.1333333333333" style="6" customWidth="1"/>
    <col min="3" max="3" width="6" style="7" customWidth="1"/>
    <col min="4" max="4" width="14.5" style="7" customWidth="1"/>
    <col min="5" max="5" width="6" style="7" customWidth="1"/>
    <col min="6" max="6" width="13.1333333333333" style="6" customWidth="1"/>
    <col min="7" max="7" width="15.5" style="6" customWidth="1"/>
    <col min="8" max="8" width="12.6333333333333" style="7" customWidth="1"/>
    <col min="9" max="9" width="13.8833333333333" style="6" customWidth="1"/>
    <col min="10" max="10" width="6.13333333333333" style="9" customWidth="1"/>
    <col min="11" max="11" width="31.5" style="10" customWidth="1"/>
    <col min="12" max="12" width="12.75" style="10" customWidth="1"/>
    <col min="13" max="13" width="8.38333333333333" style="10" customWidth="1"/>
    <col min="14" max="14" width="5.63333333333333" style="10" customWidth="1"/>
    <col min="15" max="15" width="9.63333333333333" style="10"/>
    <col min="16" max="17" width="9" style="10"/>
    <col min="18" max="18" width="10.3833333333333" style="10"/>
    <col min="19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2"/>
      <c r="L1" s="22"/>
    </row>
    <row r="2" ht="18" customHeight="1" spans="1:12">
      <c r="A2" s="13" t="s">
        <v>1</v>
      </c>
      <c r="B2" s="14">
        <v>43594</v>
      </c>
      <c r="C2" s="15" t="s">
        <v>2</v>
      </c>
      <c r="D2" s="16">
        <v>17098941</v>
      </c>
      <c r="E2" s="17" t="s">
        <v>3</v>
      </c>
      <c r="F2" s="18" t="s">
        <v>4</v>
      </c>
      <c r="G2" s="19" t="s">
        <v>5</v>
      </c>
      <c r="H2" s="112" t="s">
        <v>6</v>
      </c>
      <c r="I2" s="48"/>
      <c r="J2" s="49"/>
      <c r="K2" s="22"/>
      <c r="L2" s="22"/>
    </row>
    <row r="3" ht="18" customHeight="1" spans="1:12">
      <c r="A3" s="13" t="s">
        <v>7</v>
      </c>
      <c r="B3" s="21"/>
      <c r="C3" s="15" t="s">
        <v>8</v>
      </c>
      <c r="D3" s="15"/>
      <c r="H3" s="22"/>
      <c r="I3" s="50"/>
      <c r="J3" s="22"/>
      <c r="K3" s="22"/>
      <c r="L3" s="22"/>
    </row>
    <row r="4" ht="18" customHeight="1" spans="1:12">
      <c r="A4" s="5" t="s">
        <v>9</v>
      </c>
      <c r="H4" s="22"/>
      <c r="I4" s="50"/>
      <c r="J4" s="22"/>
      <c r="K4" s="22"/>
      <c r="L4" s="22"/>
    </row>
    <row r="5" ht="18" customHeight="1" spans="1:10">
      <c r="A5" s="23" t="s">
        <v>10</v>
      </c>
      <c r="B5" s="24" t="s">
        <v>11</v>
      </c>
      <c r="C5" s="23" t="s">
        <v>12</v>
      </c>
      <c r="D5" s="23"/>
      <c r="E5" s="23" t="s">
        <v>13</v>
      </c>
      <c r="F5" s="24"/>
      <c r="G5" s="24" t="s">
        <v>14</v>
      </c>
      <c r="H5" s="25" t="s">
        <v>15</v>
      </c>
      <c r="I5" s="24"/>
      <c r="J5" s="25"/>
    </row>
    <row r="6" ht="18" customHeight="1" spans="1:10">
      <c r="A6" s="23"/>
      <c r="B6" s="24"/>
      <c r="C6" s="23" t="s">
        <v>16</v>
      </c>
      <c r="D6" s="23" t="s">
        <v>17</v>
      </c>
      <c r="E6" s="23" t="s">
        <v>16</v>
      </c>
      <c r="F6" s="24" t="s">
        <v>17</v>
      </c>
      <c r="G6" s="24"/>
      <c r="H6" s="25" t="s">
        <v>18</v>
      </c>
      <c r="I6" s="24" t="s">
        <v>19</v>
      </c>
      <c r="J6" s="25" t="s">
        <v>20</v>
      </c>
    </row>
    <row r="7" ht="18" customHeight="1" spans="1:10">
      <c r="A7" s="26">
        <v>43679</v>
      </c>
      <c r="B7" s="27">
        <f t="shared" ref="B7:B12" si="0">G7/(1+C7+E7)</f>
        <v>2353065.27522936</v>
      </c>
      <c r="C7" s="28">
        <v>0.02</v>
      </c>
      <c r="D7" s="29">
        <f t="shared" ref="D7:D12" si="1">G7/(1+E7+C7)*C7</f>
        <v>47061.3055045872</v>
      </c>
      <c r="E7" s="28">
        <v>0.07</v>
      </c>
      <c r="F7" s="27">
        <f t="shared" ref="F7:F12" si="2">G7/(1+C7+E7)*E7</f>
        <v>164714.569266055</v>
      </c>
      <c r="G7" s="30">
        <v>2564841.15</v>
      </c>
      <c r="H7" s="26">
        <v>43682</v>
      </c>
      <c r="I7" s="27">
        <v>2564841.15</v>
      </c>
      <c r="J7" s="51" t="s">
        <v>21</v>
      </c>
    </row>
    <row r="8" ht="18" customHeight="1" spans="1:10">
      <c r="A8" s="26"/>
      <c r="B8" s="27"/>
      <c r="C8" s="28"/>
      <c r="D8" s="29"/>
      <c r="E8" s="28"/>
      <c r="F8" s="27"/>
      <c r="G8" s="30"/>
      <c r="H8" s="26">
        <v>43850</v>
      </c>
      <c r="I8" s="27">
        <v>3665176</v>
      </c>
      <c r="J8" s="51" t="s">
        <v>21</v>
      </c>
    </row>
    <row r="9" ht="18" customHeight="1" spans="1:10">
      <c r="A9" s="26">
        <v>43838</v>
      </c>
      <c r="B9" s="27">
        <f t="shared" si="0"/>
        <v>4203183.48623853</v>
      </c>
      <c r="C9" s="28">
        <v>0.02</v>
      </c>
      <c r="D9" s="29">
        <f t="shared" si="1"/>
        <v>84063.6697247706</v>
      </c>
      <c r="E9" s="31">
        <v>0.07</v>
      </c>
      <c r="F9" s="27">
        <f t="shared" si="2"/>
        <v>294222.844036697</v>
      </c>
      <c r="G9" s="30">
        <v>4581470</v>
      </c>
      <c r="H9" s="26">
        <v>43850</v>
      </c>
      <c r="I9" s="27">
        <v>916294</v>
      </c>
      <c r="J9" s="51" t="s">
        <v>22</v>
      </c>
    </row>
    <row r="10" ht="18" customHeight="1" spans="1:10">
      <c r="A10" s="26">
        <v>43962</v>
      </c>
      <c r="B10" s="27">
        <f t="shared" si="0"/>
        <v>1109189.41284404</v>
      </c>
      <c r="C10" s="31">
        <v>0.02</v>
      </c>
      <c r="D10" s="29">
        <f t="shared" si="1"/>
        <v>22183.7882568807</v>
      </c>
      <c r="E10" s="31">
        <v>0.07</v>
      </c>
      <c r="F10" s="27">
        <f t="shared" si="2"/>
        <v>77643.2588990826</v>
      </c>
      <c r="G10" s="30">
        <v>1209016.46</v>
      </c>
      <c r="H10" s="26">
        <v>43971</v>
      </c>
      <c r="I10" s="27">
        <v>1209016.46</v>
      </c>
      <c r="J10" s="51" t="s">
        <v>21</v>
      </c>
    </row>
    <row r="11" ht="18" customHeight="1" spans="1:10">
      <c r="A11" s="26">
        <v>44092</v>
      </c>
      <c r="B11" s="27">
        <f t="shared" si="0"/>
        <v>1667265.0733945</v>
      </c>
      <c r="C11" s="31">
        <v>0.02</v>
      </c>
      <c r="D11" s="29">
        <f t="shared" si="1"/>
        <v>33345.3014678899</v>
      </c>
      <c r="E11" s="31">
        <v>0.07</v>
      </c>
      <c r="F11" s="27">
        <f t="shared" si="2"/>
        <v>116708.555137615</v>
      </c>
      <c r="G11" s="30">
        <v>1817318.93</v>
      </c>
      <c r="H11" s="26">
        <v>44119</v>
      </c>
      <c r="I11" s="27">
        <v>1453855.14</v>
      </c>
      <c r="J11" s="51" t="s">
        <v>124</v>
      </c>
    </row>
    <row r="12" ht="18" customHeight="1" spans="1:10">
      <c r="A12" s="26"/>
      <c r="B12" s="27">
        <f t="shared" si="0"/>
        <v>0</v>
      </c>
      <c r="C12" s="28">
        <v>0.02</v>
      </c>
      <c r="D12" s="29">
        <f t="shared" si="1"/>
        <v>0</v>
      </c>
      <c r="E12" s="31">
        <v>0.07</v>
      </c>
      <c r="F12" s="27">
        <f t="shared" si="2"/>
        <v>0</v>
      </c>
      <c r="G12" s="30"/>
      <c r="H12" s="26"/>
      <c r="I12" s="27"/>
      <c r="J12" s="51"/>
    </row>
    <row r="13" ht="18" customHeight="1" spans="1:10">
      <c r="A13" s="32" t="s">
        <v>23</v>
      </c>
      <c r="B13" s="121">
        <f t="shared" ref="B13:G13" si="3">SUM(B7:B12)</f>
        <v>9332703.24770642</v>
      </c>
      <c r="C13" s="113"/>
      <c r="D13" s="106">
        <f t="shared" si="3"/>
        <v>186654.064954128</v>
      </c>
      <c r="E13" s="113"/>
      <c r="F13" s="123">
        <f t="shared" si="3"/>
        <v>653289.22733945</v>
      </c>
      <c r="G13" s="106">
        <f t="shared" si="3"/>
        <v>10172646.54</v>
      </c>
      <c r="H13" s="52"/>
      <c r="I13" s="106">
        <f>SUM(I7:I12)</f>
        <v>9809182.75</v>
      </c>
      <c r="J13" s="52"/>
    </row>
    <row r="14" ht="18" customHeight="1" spans="1:12">
      <c r="A14" s="5" t="s">
        <v>24</v>
      </c>
      <c r="J14" s="7"/>
      <c r="K14" s="7"/>
      <c r="L14" s="9"/>
    </row>
    <row r="15" ht="18" customHeight="1" spans="1:15">
      <c r="A15" s="34" t="s">
        <v>25</v>
      </c>
      <c r="B15" s="24" t="s">
        <v>26</v>
      </c>
      <c r="C15" s="23" t="s">
        <v>27</v>
      </c>
      <c r="D15" s="23" t="s">
        <v>28</v>
      </c>
      <c r="E15" s="23" t="s">
        <v>16</v>
      </c>
      <c r="F15" s="24" t="s">
        <v>29</v>
      </c>
      <c r="G15" s="24" t="s">
        <v>14</v>
      </c>
      <c r="H15" s="23" t="s">
        <v>30</v>
      </c>
      <c r="I15" s="24" t="s">
        <v>31</v>
      </c>
      <c r="J15" s="23" t="s">
        <v>20</v>
      </c>
      <c r="K15" s="53" t="s">
        <v>32</v>
      </c>
      <c r="L15" s="25" t="s">
        <v>33</v>
      </c>
      <c r="M15" s="25" t="s">
        <v>34</v>
      </c>
      <c r="N15" s="25" t="s">
        <v>35</v>
      </c>
      <c r="O15" s="25" t="s">
        <v>36</v>
      </c>
    </row>
    <row r="16" customFormat="1" ht="18" customHeight="1" spans="1:15">
      <c r="A16" s="35">
        <v>43647</v>
      </c>
      <c r="B16" s="36">
        <f t="shared" ref="B16:B34" si="4">ROUND(G16/(1+E16),2)</f>
        <v>15389.05</v>
      </c>
      <c r="C16" s="23"/>
      <c r="D16" s="37" t="s">
        <v>37</v>
      </c>
      <c r="E16" s="38"/>
      <c r="F16" s="36">
        <f t="shared" ref="F16:F38" si="5">ROUND(G16/(1+E16)*E16,2)</f>
        <v>0</v>
      </c>
      <c r="G16" s="30">
        <v>15389.05</v>
      </c>
      <c r="H16" s="23"/>
      <c r="I16" s="24"/>
      <c r="J16" s="23"/>
      <c r="K16" s="53"/>
      <c r="L16" s="25"/>
      <c r="M16" s="25"/>
      <c r="N16" s="25"/>
      <c r="O16" s="25"/>
    </row>
    <row r="17" s="1" customFormat="1" ht="18" customHeight="1" spans="1:15">
      <c r="A17" s="35">
        <v>43678</v>
      </c>
      <c r="B17" s="36">
        <f t="shared" si="4"/>
        <v>619469.03</v>
      </c>
      <c r="C17" s="39"/>
      <c r="D17" s="37" t="s">
        <v>38</v>
      </c>
      <c r="E17" s="38">
        <v>0.13</v>
      </c>
      <c r="F17" s="36">
        <f t="shared" si="5"/>
        <v>80530.97</v>
      </c>
      <c r="G17" s="30">
        <v>700000</v>
      </c>
      <c r="H17" s="26">
        <v>43683</v>
      </c>
      <c r="I17" s="27">
        <v>700000</v>
      </c>
      <c r="J17" s="51" t="s">
        <v>21</v>
      </c>
      <c r="K17" s="54" t="s">
        <v>39</v>
      </c>
      <c r="L17" s="55" t="s">
        <v>40</v>
      </c>
      <c r="M17" s="56" t="s">
        <v>41</v>
      </c>
      <c r="N17" s="56" t="s">
        <v>42</v>
      </c>
      <c r="O17" s="55"/>
    </row>
    <row r="18" s="1" customFormat="1" ht="18" customHeight="1" spans="1:15">
      <c r="A18" s="35">
        <v>43678</v>
      </c>
      <c r="B18" s="36">
        <f t="shared" si="4"/>
        <v>1155339.81</v>
      </c>
      <c r="C18" s="39"/>
      <c r="D18" s="37" t="s">
        <v>38</v>
      </c>
      <c r="E18" s="38">
        <v>0.03</v>
      </c>
      <c r="F18" s="36">
        <f t="shared" si="5"/>
        <v>34660.19</v>
      </c>
      <c r="G18" s="30">
        <v>1190000</v>
      </c>
      <c r="H18" s="26">
        <v>43683</v>
      </c>
      <c r="I18" s="27">
        <v>1190000</v>
      </c>
      <c r="J18" s="51" t="s">
        <v>21</v>
      </c>
      <c r="K18" s="54" t="s">
        <v>43</v>
      </c>
      <c r="L18" s="55" t="s">
        <v>44</v>
      </c>
      <c r="M18" s="56"/>
      <c r="N18" s="56"/>
      <c r="O18" s="55"/>
    </row>
    <row r="19" s="1" customFormat="1" ht="18" customHeight="1" spans="1:15">
      <c r="A19" s="35">
        <v>43709</v>
      </c>
      <c r="B19" s="21">
        <f t="shared" si="4"/>
        <v>487699.12</v>
      </c>
      <c r="C19" s="39"/>
      <c r="D19" s="37" t="s">
        <v>38</v>
      </c>
      <c r="E19" s="38">
        <v>0.13</v>
      </c>
      <c r="F19" s="36">
        <f t="shared" si="5"/>
        <v>63400.88</v>
      </c>
      <c r="G19" s="30">
        <f>95700+99000*2+66000+92400+99000</f>
        <v>551100</v>
      </c>
      <c r="H19" s="26">
        <v>43718</v>
      </c>
      <c r="I19" s="57">
        <v>551100</v>
      </c>
      <c r="J19" s="51" t="s">
        <v>21</v>
      </c>
      <c r="K19" s="54" t="s">
        <v>39</v>
      </c>
      <c r="L19" s="55" t="s">
        <v>45</v>
      </c>
      <c r="M19" s="56" t="s">
        <v>41</v>
      </c>
      <c r="N19" s="56" t="s">
        <v>46</v>
      </c>
      <c r="O19" s="55"/>
    </row>
    <row r="20" s="1" customFormat="1" ht="18" customHeight="1" spans="1:15">
      <c r="A20" s="35">
        <v>43709</v>
      </c>
      <c r="B20" s="21">
        <f t="shared" si="4"/>
        <v>77981.65</v>
      </c>
      <c r="C20" s="39"/>
      <c r="D20" s="37" t="s">
        <v>38</v>
      </c>
      <c r="E20" s="38">
        <v>0.09</v>
      </c>
      <c r="F20" s="36">
        <f t="shared" si="5"/>
        <v>7018.35</v>
      </c>
      <c r="G20" s="30">
        <v>85000</v>
      </c>
      <c r="H20" s="26"/>
      <c r="I20" s="27"/>
      <c r="J20" s="51"/>
      <c r="K20" s="58" t="s">
        <v>47</v>
      </c>
      <c r="L20" s="55" t="s">
        <v>48</v>
      </c>
      <c r="M20" s="56"/>
      <c r="N20" s="56"/>
      <c r="O20" s="55"/>
    </row>
    <row r="21" s="1" customFormat="1" ht="18" customHeight="1" spans="1:15">
      <c r="A21" s="35"/>
      <c r="B21" s="21">
        <f t="shared" si="4"/>
        <v>0</v>
      </c>
      <c r="C21" s="39"/>
      <c r="D21" s="37"/>
      <c r="E21" s="38"/>
      <c r="F21" s="36">
        <f t="shared" si="5"/>
        <v>0</v>
      </c>
      <c r="G21" s="30"/>
      <c r="H21" s="26">
        <v>43851</v>
      </c>
      <c r="I21" s="27">
        <v>85000</v>
      </c>
      <c r="J21" s="51" t="s">
        <v>21</v>
      </c>
      <c r="K21" s="58" t="s">
        <v>49</v>
      </c>
      <c r="L21" s="55" t="s">
        <v>48</v>
      </c>
      <c r="M21" s="56"/>
      <c r="N21" s="56"/>
      <c r="O21" s="55"/>
    </row>
    <row r="22" s="1" customFormat="1" ht="18" customHeight="1" spans="1:15">
      <c r="A22" s="138">
        <v>43891</v>
      </c>
      <c r="B22" s="139">
        <f t="shared" si="4"/>
        <v>387610.62</v>
      </c>
      <c r="C22" s="140">
        <v>5</v>
      </c>
      <c r="D22" s="141" t="s">
        <v>38</v>
      </c>
      <c r="E22" s="142">
        <v>0.13</v>
      </c>
      <c r="F22" s="139">
        <f t="shared" si="5"/>
        <v>50389.38</v>
      </c>
      <c r="G22" s="139">
        <f>83422.36+92199+62519.24+99995.4+99864</f>
        <v>438000</v>
      </c>
      <c r="H22" s="44">
        <v>43852</v>
      </c>
      <c r="I22" s="29">
        <v>438000</v>
      </c>
      <c r="J22" s="59" t="s">
        <v>21</v>
      </c>
      <c r="K22" s="60" t="s">
        <v>50</v>
      </c>
      <c r="L22" s="61" t="s">
        <v>51</v>
      </c>
      <c r="M22" s="62"/>
      <c r="N22" s="63" t="s">
        <v>114</v>
      </c>
      <c r="O22" s="55"/>
    </row>
    <row r="23" s="1" customFormat="1" ht="18" customHeight="1" spans="1:15">
      <c r="A23" s="41">
        <v>43831</v>
      </c>
      <c r="B23" s="36">
        <f t="shared" si="4"/>
        <v>290265.49</v>
      </c>
      <c r="C23" s="42"/>
      <c r="D23" s="43" t="s">
        <v>38</v>
      </c>
      <c r="E23" s="38">
        <v>0.13</v>
      </c>
      <c r="F23" s="36">
        <f t="shared" si="5"/>
        <v>37734.51</v>
      </c>
      <c r="G23" s="30">
        <f>73800+82000+90200+82000</f>
        <v>328000</v>
      </c>
      <c r="H23" s="44">
        <v>43852</v>
      </c>
      <c r="I23" s="29">
        <v>328000</v>
      </c>
      <c r="J23" s="59" t="s">
        <v>21</v>
      </c>
      <c r="K23" s="60" t="s">
        <v>39</v>
      </c>
      <c r="L23" s="61" t="s">
        <v>52</v>
      </c>
      <c r="M23" s="62" t="s">
        <v>41</v>
      </c>
      <c r="N23" s="62" t="s">
        <v>41</v>
      </c>
      <c r="O23" s="55"/>
    </row>
    <row r="24" s="1" customFormat="1" ht="18" customHeight="1" spans="1:15">
      <c r="A24" s="35"/>
      <c r="B24" s="21">
        <f t="shared" si="4"/>
        <v>0</v>
      </c>
      <c r="C24" s="39"/>
      <c r="D24" s="37"/>
      <c r="E24" s="38"/>
      <c r="F24" s="36">
        <f t="shared" si="5"/>
        <v>0</v>
      </c>
      <c r="G24" s="30"/>
      <c r="H24" s="44">
        <v>43852</v>
      </c>
      <c r="I24" s="29">
        <v>916294</v>
      </c>
      <c r="J24" s="59" t="s">
        <v>22</v>
      </c>
      <c r="K24" s="60" t="s">
        <v>53</v>
      </c>
      <c r="L24" s="61" t="s">
        <v>54</v>
      </c>
      <c r="M24" s="62">
        <v>5138695.06</v>
      </c>
      <c r="N24" s="62"/>
      <c r="O24" s="55"/>
    </row>
    <row r="25" s="1" customFormat="1" ht="18" customHeight="1" spans="1:15">
      <c r="A25" s="35">
        <v>43891</v>
      </c>
      <c r="B25" s="21">
        <f t="shared" si="4"/>
        <v>2721460</v>
      </c>
      <c r="C25" s="39"/>
      <c r="D25" s="37" t="s">
        <v>37</v>
      </c>
      <c r="E25" s="38"/>
      <c r="F25" s="36">
        <f t="shared" si="5"/>
        <v>0</v>
      </c>
      <c r="G25" s="30">
        <f>100000*27+21460</f>
        <v>2721460</v>
      </c>
      <c r="H25" s="44">
        <v>43852</v>
      </c>
      <c r="I25" s="29">
        <v>980000</v>
      </c>
      <c r="J25" s="59" t="s">
        <v>21</v>
      </c>
      <c r="K25" s="60" t="s">
        <v>53</v>
      </c>
      <c r="L25" s="61" t="s">
        <v>54</v>
      </c>
      <c r="M25" s="62" t="s">
        <v>41</v>
      </c>
      <c r="N25" s="62"/>
      <c r="O25" s="55"/>
    </row>
    <row r="26" s="1" customFormat="1" ht="18" customHeight="1" spans="1:15">
      <c r="A26" s="138">
        <v>43891</v>
      </c>
      <c r="B26" s="139">
        <f t="shared" si="4"/>
        <v>240341.75</v>
      </c>
      <c r="C26" s="140">
        <v>25</v>
      </c>
      <c r="D26" s="141" t="s">
        <v>38</v>
      </c>
      <c r="E26" s="142">
        <v>0.03</v>
      </c>
      <c r="F26" s="139">
        <f t="shared" si="5"/>
        <v>7210.25</v>
      </c>
      <c r="G26" s="139">
        <f>7552+10000*24</f>
        <v>247552</v>
      </c>
      <c r="H26" s="44">
        <v>43852</v>
      </c>
      <c r="I26" s="29">
        <v>527552</v>
      </c>
      <c r="J26" s="59" t="s">
        <v>21</v>
      </c>
      <c r="K26" s="64" t="s">
        <v>43</v>
      </c>
      <c r="L26" s="61" t="s">
        <v>44</v>
      </c>
      <c r="M26" s="62"/>
      <c r="N26" s="62"/>
      <c r="O26" s="55"/>
    </row>
    <row r="27" s="1" customFormat="1" ht="18" customHeight="1" spans="1:15">
      <c r="A27" s="35"/>
      <c r="B27" s="21">
        <f t="shared" si="4"/>
        <v>0</v>
      </c>
      <c r="C27" s="39"/>
      <c r="D27" s="37"/>
      <c r="E27" s="38"/>
      <c r="F27" s="36">
        <f t="shared" si="5"/>
        <v>0</v>
      </c>
      <c r="G27" s="30"/>
      <c r="H27" s="26">
        <v>43900</v>
      </c>
      <c r="I27" s="27">
        <v>823772</v>
      </c>
      <c r="J27" s="51" t="s">
        <v>21</v>
      </c>
      <c r="K27" s="58" t="s">
        <v>53</v>
      </c>
      <c r="L27" s="55" t="s">
        <v>54</v>
      </c>
      <c r="M27" s="56" t="s">
        <v>41</v>
      </c>
      <c r="N27" s="56"/>
      <c r="O27" s="55"/>
    </row>
    <row r="28" s="1" customFormat="1" ht="18" customHeight="1" spans="1:15">
      <c r="A28" s="35"/>
      <c r="B28" s="21">
        <f t="shared" si="4"/>
        <v>0</v>
      </c>
      <c r="C28" s="39"/>
      <c r="D28" s="37"/>
      <c r="E28" s="38"/>
      <c r="F28" s="36">
        <f t="shared" si="5"/>
        <v>0</v>
      </c>
      <c r="G28" s="30"/>
      <c r="H28" s="26">
        <v>43972</v>
      </c>
      <c r="I28" s="27">
        <v>901394</v>
      </c>
      <c r="J28" s="51" t="s">
        <v>21</v>
      </c>
      <c r="K28" s="58" t="s">
        <v>53</v>
      </c>
      <c r="L28" s="55" t="s">
        <v>54</v>
      </c>
      <c r="M28" s="56" t="s">
        <v>41</v>
      </c>
      <c r="N28" s="56"/>
      <c r="O28" s="55"/>
    </row>
    <row r="29" s="1" customFormat="1" ht="18" customHeight="1" spans="1:15">
      <c r="A29" s="35"/>
      <c r="B29" s="21">
        <f t="shared" si="4"/>
        <v>0</v>
      </c>
      <c r="C29" s="39"/>
      <c r="D29" s="37"/>
      <c r="E29" s="38"/>
      <c r="F29" s="36">
        <f t="shared" si="5"/>
        <v>0</v>
      </c>
      <c r="G29" s="30"/>
      <c r="H29" s="26"/>
      <c r="I29" s="27"/>
      <c r="J29" s="51" t="s">
        <v>21</v>
      </c>
      <c r="K29" s="58" t="s">
        <v>39</v>
      </c>
      <c r="L29" s="55" t="s">
        <v>55</v>
      </c>
      <c r="M29" s="56"/>
      <c r="N29" s="56"/>
      <c r="O29" s="55"/>
    </row>
    <row r="30" s="1" customFormat="1" ht="18" customHeight="1" spans="1:15">
      <c r="A30" s="35">
        <v>43972</v>
      </c>
      <c r="B30" s="21">
        <f t="shared" si="4"/>
        <v>900000</v>
      </c>
      <c r="C30" s="39"/>
      <c r="D30" s="37" t="s">
        <v>37</v>
      </c>
      <c r="E30" s="38"/>
      <c r="F30" s="36">
        <f t="shared" si="5"/>
        <v>0</v>
      </c>
      <c r="G30" s="30">
        <v>900000</v>
      </c>
      <c r="H30" s="26"/>
      <c r="I30" s="27"/>
      <c r="J30" s="51"/>
      <c r="K30" s="58" t="s">
        <v>53</v>
      </c>
      <c r="L30" s="55" t="s">
        <v>54</v>
      </c>
      <c r="M30" s="56"/>
      <c r="N30" s="56"/>
      <c r="O30" s="55"/>
    </row>
    <row r="31" s="1" customFormat="1" ht="18" customHeight="1" spans="1:15">
      <c r="A31" s="138" t="s">
        <v>117</v>
      </c>
      <c r="B31" s="139">
        <f t="shared" si="4"/>
        <v>198320</v>
      </c>
      <c r="C31" s="140">
        <v>4</v>
      </c>
      <c r="D31" s="141" t="s">
        <v>56</v>
      </c>
      <c r="E31" s="142"/>
      <c r="F31" s="139">
        <f t="shared" si="5"/>
        <v>0</v>
      </c>
      <c r="G31" s="139">
        <v>198320</v>
      </c>
      <c r="H31" s="26">
        <v>43984</v>
      </c>
      <c r="I31" s="27">
        <v>198320</v>
      </c>
      <c r="J31" s="51" t="s">
        <v>57</v>
      </c>
      <c r="K31" s="58" t="s">
        <v>58</v>
      </c>
      <c r="L31" s="55" t="s">
        <v>110</v>
      </c>
      <c r="M31" s="56"/>
      <c r="N31" s="69" t="s">
        <v>114</v>
      </c>
      <c r="O31" s="55"/>
    </row>
    <row r="32" s="1" customFormat="1" ht="18" customHeight="1" spans="1:15">
      <c r="A32" s="35" t="s">
        <v>118</v>
      </c>
      <c r="B32" s="21">
        <f t="shared" si="4"/>
        <v>199640</v>
      </c>
      <c r="C32" s="39">
        <v>4</v>
      </c>
      <c r="D32" s="37" t="s">
        <v>108</v>
      </c>
      <c r="E32" s="38"/>
      <c r="F32" s="36">
        <f t="shared" si="5"/>
        <v>0</v>
      </c>
      <c r="G32" s="30">
        <f>49910*4</f>
        <v>199640</v>
      </c>
      <c r="H32" s="45"/>
      <c r="I32" s="65"/>
      <c r="J32" s="66"/>
      <c r="K32" s="67" t="s">
        <v>109</v>
      </c>
      <c r="L32" s="68" t="s">
        <v>110</v>
      </c>
      <c r="M32" s="56" t="s">
        <v>41</v>
      </c>
      <c r="N32" s="56" t="s">
        <v>41</v>
      </c>
      <c r="O32" s="55"/>
    </row>
    <row r="33" s="1" customFormat="1" ht="18" customHeight="1" spans="1:15">
      <c r="A33" s="35"/>
      <c r="B33" s="21">
        <f t="shared" si="4"/>
        <v>0</v>
      </c>
      <c r="C33" s="39"/>
      <c r="D33" s="37"/>
      <c r="E33" s="38"/>
      <c r="F33" s="36">
        <f t="shared" si="5"/>
        <v>0</v>
      </c>
      <c r="G33" s="30"/>
      <c r="H33" s="45">
        <v>44020</v>
      </c>
      <c r="I33" s="65">
        <v>49910</v>
      </c>
      <c r="J33" s="66" t="s">
        <v>57</v>
      </c>
      <c r="K33" s="67" t="s">
        <v>111</v>
      </c>
      <c r="L33" s="68"/>
      <c r="M33" s="56"/>
      <c r="N33" s="69"/>
      <c r="O33" s="55"/>
    </row>
    <row r="34" s="1" customFormat="1" ht="18" customHeight="1" spans="1:15">
      <c r="A34" s="35"/>
      <c r="B34" s="21">
        <f t="shared" si="4"/>
        <v>0</v>
      </c>
      <c r="C34" s="39"/>
      <c r="D34" s="37"/>
      <c r="E34" s="38"/>
      <c r="F34" s="36">
        <f t="shared" si="5"/>
        <v>0</v>
      </c>
      <c r="G34" s="30"/>
      <c r="H34" s="45">
        <v>44020</v>
      </c>
      <c r="I34" s="65">
        <v>49910</v>
      </c>
      <c r="J34" s="66" t="s">
        <v>57</v>
      </c>
      <c r="K34" s="67" t="s">
        <v>112</v>
      </c>
      <c r="L34" s="68"/>
      <c r="M34" s="56"/>
      <c r="N34" s="69"/>
      <c r="O34" s="55"/>
    </row>
    <row r="35" s="1" customFormat="1" ht="18" customHeight="1" spans="5:15">
      <c r="E35" s="38"/>
      <c r="F35" s="36">
        <f t="shared" si="5"/>
        <v>0</v>
      </c>
      <c r="G35" s="30"/>
      <c r="H35" s="44">
        <v>44050</v>
      </c>
      <c r="I35" s="29">
        <v>49910</v>
      </c>
      <c r="J35" s="59" t="s">
        <v>57</v>
      </c>
      <c r="K35" s="60" t="s">
        <v>115</v>
      </c>
      <c r="L35" s="68"/>
      <c r="M35" s="56"/>
      <c r="N35" s="69"/>
      <c r="O35" s="55"/>
    </row>
    <row r="36" s="1" customFormat="1" ht="18" customHeight="1" spans="1:15">
      <c r="A36" s="138" t="s">
        <v>119</v>
      </c>
      <c r="B36" s="139">
        <f>ROUND(G36/(1+E36),2)</f>
        <v>199640</v>
      </c>
      <c r="C36" s="140">
        <v>4</v>
      </c>
      <c r="D36" s="141" t="s">
        <v>108</v>
      </c>
      <c r="E36" s="142"/>
      <c r="F36" s="139">
        <f t="shared" si="5"/>
        <v>0</v>
      </c>
      <c r="G36" s="139">
        <v>199640</v>
      </c>
      <c r="H36" s="44"/>
      <c r="I36" s="29"/>
      <c r="J36" s="59"/>
      <c r="K36" s="60" t="s">
        <v>109</v>
      </c>
      <c r="L36" s="68" t="s">
        <v>120</v>
      </c>
      <c r="M36" s="56"/>
      <c r="N36" s="56" t="s">
        <v>114</v>
      </c>
      <c r="O36" s="55"/>
    </row>
    <row r="37" s="1" customFormat="1" ht="18" customHeight="1" spans="1:15">
      <c r="A37" s="138" t="s">
        <v>121</v>
      </c>
      <c r="B37" s="139">
        <f>ROUND(G37/(1+E37),2)</f>
        <v>199640</v>
      </c>
      <c r="C37" s="140">
        <v>4</v>
      </c>
      <c r="D37" s="141" t="s">
        <v>108</v>
      </c>
      <c r="E37" s="142"/>
      <c r="F37" s="139">
        <f t="shared" si="5"/>
        <v>0</v>
      </c>
      <c r="G37" s="139">
        <v>199640</v>
      </c>
      <c r="H37" s="44"/>
      <c r="I37" s="29"/>
      <c r="J37" s="59"/>
      <c r="K37" s="60" t="s">
        <v>109</v>
      </c>
      <c r="L37" s="68" t="s">
        <v>120</v>
      </c>
      <c r="M37" s="56"/>
      <c r="N37" s="56" t="s">
        <v>114</v>
      </c>
      <c r="O37" s="55"/>
    </row>
    <row r="38" s="1" customFormat="1" ht="18" customHeight="1" spans="1:15">
      <c r="A38" s="138" t="s">
        <v>122</v>
      </c>
      <c r="B38" s="139">
        <v>199640</v>
      </c>
      <c r="C38" s="140">
        <v>4</v>
      </c>
      <c r="D38" s="141" t="s">
        <v>108</v>
      </c>
      <c r="E38" s="142"/>
      <c r="F38" s="139">
        <f t="shared" si="5"/>
        <v>0</v>
      </c>
      <c r="G38" s="139">
        <v>199640</v>
      </c>
      <c r="H38" s="44"/>
      <c r="I38" s="29"/>
      <c r="J38" s="59"/>
      <c r="K38" s="60" t="s">
        <v>109</v>
      </c>
      <c r="L38" s="68" t="s">
        <v>120</v>
      </c>
      <c r="M38" s="56"/>
      <c r="N38" s="56" t="s">
        <v>114</v>
      </c>
      <c r="O38" s="55"/>
    </row>
    <row r="39" s="1" customFormat="1" ht="18" customHeight="1" spans="1:15">
      <c r="A39" s="35"/>
      <c r="B39" s="21"/>
      <c r="C39" s="39"/>
      <c r="D39" s="37"/>
      <c r="E39" s="38"/>
      <c r="F39" s="36"/>
      <c r="G39" s="30"/>
      <c r="H39" s="46">
        <v>44123</v>
      </c>
      <c r="I39" s="70">
        <v>149730</v>
      </c>
      <c r="J39" s="71"/>
      <c r="K39" s="72" t="s">
        <v>111</v>
      </c>
      <c r="L39" s="143"/>
      <c r="M39" s="56"/>
      <c r="N39" s="56"/>
      <c r="O39" s="55"/>
    </row>
    <row r="40" s="1" customFormat="1" ht="18" customHeight="1" spans="1:15">
      <c r="A40" s="35"/>
      <c r="B40" s="21"/>
      <c r="C40" s="39"/>
      <c r="D40" s="37"/>
      <c r="E40" s="38"/>
      <c r="F40" s="36"/>
      <c r="G40" s="30"/>
      <c r="H40" s="46">
        <v>44123</v>
      </c>
      <c r="I40" s="70">
        <v>199640</v>
      </c>
      <c r="J40" s="71"/>
      <c r="K40" s="72" t="s">
        <v>125</v>
      </c>
      <c r="L40" s="143"/>
      <c r="M40" s="56"/>
      <c r="N40" s="56"/>
      <c r="O40" s="55"/>
    </row>
    <row r="41" s="1" customFormat="1" ht="18" customHeight="1" spans="1:15">
      <c r="A41" s="35"/>
      <c r="B41" s="21"/>
      <c r="C41" s="39"/>
      <c r="D41" s="37"/>
      <c r="E41" s="38"/>
      <c r="F41" s="36"/>
      <c r="G41" s="30"/>
      <c r="H41" s="46">
        <v>44123</v>
      </c>
      <c r="I41" s="70">
        <v>149730</v>
      </c>
      <c r="J41" s="71"/>
      <c r="K41" s="72" t="s">
        <v>115</v>
      </c>
      <c r="L41" s="143"/>
      <c r="M41" s="56"/>
      <c r="N41" s="56"/>
      <c r="O41" s="55"/>
    </row>
    <row r="42" s="1" customFormat="1" ht="18" customHeight="1" spans="1:15">
      <c r="A42" s="35"/>
      <c r="B42" s="21"/>
      <c r="C42" s="39"/>
      <c r="D42" s="37"/>
      <c r="E42" s="38"/>
      <c r="F42" s="36"/>
      <c r="G42" s="30"/>
      <c r="H42" s="46">
        <v>44123</v>
      </c>
      <c r="I42" s="70">
        <v>149730</v>
      </c>
      <c r="J42" s="71"/>
      <c r="K42" s="72" t="s">
        <v>112</v>
      </c>
      <c r="L42" s="143"/>
      <c r="M42" s="56"/>
      <c r="N42" s="56"/>
      <c r="O42" s="55"/>
    </row>
    <row r="43" s="1" customFormat="1" ht="18" customHeight="1" spans="1:15">
      <c r="A43" s="35" t="s">
        <v>126</v>
      </c>
      <c r="B43" s="21">
        <f>G43</f>
        <v>400000</v>
      </c>
      <c r="C43" s="39"/>
      <c r="D43" s="37" t="s">
        <v>37</v>
      </c>
      <c r="E43" s="38"/>
      <c r="F43" s="36"/>
      <c r="G43" s="30">
        <v>400000</v>
      </c>
      <c r="H43" s="46">
        <v>44123</v>
      </c>
      <c r="I43" s="70">
        <v>400000</v>
      </c>
      <c r="J43" s="71"/>
      <c r="K43" s="72" t="s">
        <v>53</v>
      </c>
      <c r="L43" s="143" t="s">
        <v>54</v>
      </c>
      <c r="M43" s="56"/>
      <c r="N43" s="56"/>
      <c r="O43" s="55"/>
    </row>
    <row r="44" s="1" customFormat="1" ht="18" customHeight="1" spans="1:15">
      <c r="A44" s="35"/>
      <c r="B44" s="21"/>
      <c r="C44" s="39"/>
      <c r="D44" s="37"/>
      <c r="E44" s="38"/>
      <c r="F44" s="36"/>
      <c r="G44" s="30"/>
      <c r="H44" s="46">
        <v>44123</v>
      </c>
      <c r="I44" s="70">
        <v>200000</v>
      </c>
      <c r="J44" s="71"/>
      <c r="K44" s="72" t="s">
        <v>39</v>
      </c>
      <c r="L44" s="143" t="s">
        <v>55</v>
      </c>
      <c r="M44" s="56"/>
      <c r="N44" s="56"/>
      <c r="O44" s="55"/>
    </row>
    <row r="45" s="1" customFormat="1" ht="18" customHeight="1" spans="1:15">
      <c r="A45" s="35"/>
      <c r="B45" s="21"/>
      <c r="C45" s="39"/>
      <c r="D45" s="37"/>
      <c r="E45" s="38"/>
      <c r="F45" s="36"/>
      <c r="G45" s="30"/>
      <c r="H45" s="44"/>
      <c r="I45" s="29"/>
      <c r="J45" s="59"/>
      <c r="K45" s="60"/>
      <c r="L45" s="68"/>
      <c r="M45" s="56"/>
      <c r="N45" s="56"/>
      <c r="O45" s="55"/>
    </row>
    <row r="46" s="1" customFormat="1" ht="18" customHeight="1" spans="1:15">
      <c r="A46" s="35"/>
      <c r="B46" s="21"/>
      <c r="C46" s="39"/>
      <c r="D46" s="37"/>
      <c r="E46" s="38"/>
      <c r="F46" s="36"/>
      <c r="G46" s="30"/>
      <c r="H46" s="44"/>
      <c r="I46" s="29"/>
      <c r="J46" s="59"/>
      <c r="K46" s="60"/>
      <c r="L46" s="68"/>
      <c r="M46" s="56"/>
      <c r="N46" s="56"/>
      <c r="O46" s="55"/>
    </row>
    <row r="47" s="1" customFormat="1" ht="18" customHeight="1" spans="1:15">
      <c r="A47" s="35"/>
      <c r="B47" s="21"/>
      <c r="C47" s="39"/>
      <c r="D47" s="37"/>
      <c r="E47" s="38"/>
      <c r="F47" s="36"/>
      <c r="G47" s="30"/>
      <c r="H47" s="44"/>
      <c r="I47" s="29"/>
      <c r="J47" s="59"/>
      <c r="K47" s="60"/>
      <c r="L47" s="68"/>
      <c r="M47" s="56"/>
      <c r="N47" s="56"/>
      <c r="O47" s="55"/>
    </row>
    <row r="48" s="1" customFormat="1" ht="18" customHeight="1" spans="1:15">
      <c r="A48" s="35"/>
      <c r="B48" s="21"/>
      <c r="C48" s="39"/>
      <c r="D48" s="37"/>
      <c r="E48" s="38"/>
      <c r="F48" s="36"/>
      <c r="G48" s="30"/>
      <c r="H48" s="46" t="s">
        <v>127</v>
      </c>
      <c r="I48" s="139">
        <v>600</v>
      </c>
      <c r="J48" s="101" t="s">
        <v>59</v>
      </c>
      <c r="K48" s="72" t="s">
        <v>60</v>
      </c>
      <c r="L48" s="68"/>
      <c r="M48" s="56"/>
      <c r="N48" s="56"/>
      <c r="O48" s="55"/>
    </row>
    <row r="49" s="1" customFormat="1" ht="18" customHeight="1" spans="1:15">
      <c r="A49" s="35"/>
      <c r="B49" s="21"/>
      <c r="C49" s="39"/>
      <c r="D49" s="37"/>
      <c r="E49" s="38"/>
      <c r="F49" s="36"/>
      <c r="G49" s="30"/>
      <c r="H49" s="46" t="s">
        <v>127</v>
      </c>
      <c r="I49" s="144">
        <v>7500</v>
      </c>
      <c r="J49" s="101" t="s">
        <v>59</v>
      </c>
      <c r="K49" s="145" t="s">
        <v>128</v>
      </c>
      <c r="L49" s="68"/>
      <c r="M49" s="56"/>
      <c r="N49" s="56"/>
      <c r="O49" s="55"/>
    </row>
    <row r="50" s="1" customFormat="1" ht="18" customHeight="1" spans="1:15">
      <c r="A50" s="35"/>
      <c r="B50" s="21"/>
      <c r="C50" s="39"/>
      <c r="D50" s="37"/>
      <c r="E50" s="38"/>
      <c r="F50" s="36"/>
      <c r="G50" s="30"/>
      <c r="H50" s="46" t="s">
        <v>127</v>
      </c>
      <c r="I50" s="70">
        <v>36346</v>
      </c>
      <c r="J50" s="71" t="s">
        <v>59</v>
      </c>
      <c r="K50" s="72" t="s">
        <v>129</v>
      </c>
      <c r="L50" s="68"/>
      <c r="M50" s="56"/>
      <c r="N50" s="56"/>
      <c r="O50" s="55"/>
    </row>
    <row r="51" s="1" customFormat="1" ht="18" customHeight="1" spans="1:15">
      <c r="A51" s="35"/>
      <c r="B51" s="21">
        <f t="shared" ref="B51:B80" si="6">ROUND(G51/(1+E51),2)</f>
        <v>0</v>
      </c>
      <c r="C51" s="39"/>
      <c r="D51" s="37"/>
      <c r="E51" s="38"/>
      <c r="F51" s="36">
        <f t="shared" ref="F51:F80" si="7">ROUND(G51/(1+E51)*E51,2)</f>
        <v>0</v>
      </c>
      <c r="G51" s="30"/>
      <c r="H51" s="46" t="s">
        <v>127</v>
      </c>
      <c r="I51" s="70">
        <v>1000</v>
      </c>
      <c r="J51" s="71" t="s">
        <v>59</v>
      </c>
      <c r="K51" s="72" t="s">
        <v>130</v>
      </c>
      <c r="L51" s="68"/>
      <c r="M51" s="56"/>
      <c r="N51" s="56"/>
      <c r="O51" s="55"/>
    </row>
    <row r="52" s="1" customFormat="1" ht="18" customHeight="1" spans="1:15">
      <c r="A52" s="35"/>
      <c r="B52" s="21">
        <f t="shared" si="6"/>
        <v>0</v>
      </c>
      <c r="C52" s="39"/>
      <c r="D52" s="37"/>
      <c r="E52" s="38"/>
      <c r="F52" s="36">
        <f t="shared" si="7"/>
        <v>0</v>
      </c>
      <c r="G52" s="30"/>
      <c r="H52" s="44" t="s">
        <v>116</v>
      </c>
      <c r="I52" s="29">
        <v>50</v>
      </c>
      <c r="J52" s="59" t="s">
        <v>59</v>
      </c>
      <c r="K52" s="60" t="s">
        <v>60</v>
      </c>
      <c r="L52" s="68"/>
      <c r="M52" s="56"/>
      <c r="N52" s="56"/>
      <c r="O52" s="55"/>
    </row>
    <row r="53" s="1" customFormat="1" ht="18" customHeight="1" spans="1:15">
      <c r="A53" s="35"/>
      <c r="B53" s="21">
        <f t="shared" si="6"/>
        <v>0</v>
      </c>
      <c r="C53" s="39"/>
      <c r="D53" s="37"/>
      <c r="E53" s="38"/>
      <c r="F53" s="36">
        <f t="shared" si="7"/>
        <v>0</v>
      </c>
      <c r="G53" s="30"/>
      <c r="H53" s="44" t="s">
        <v>113</v>
      </c>
      <c r="I53" s="29">
        <v>100</v>
      </c>
      <c r="J53" s="59" t="s">
        <v>59</v>
      </c>
      <c r="K53" s="60" t="s">
        <v>60</v>
      </c>
      <c r="L53" s="68"/>
      <c r="M53" s="56"/>
      <c r="N53" s="56"/>
      <c r="O53" s="55"/>
    </row>
    <row r="54" s="1" customFormat="1" ht="18" customHeight="1" spans="1:15">
      <c r="A54" s="35"/>
      <c r="B54" s="21">
        <f t="shared" si="6"/>
        <v>0</v>
      </c>
      <c r="C54" s="39"/>
      <c r="D54" s="37"/>
      <c r="E54" s="38"/>
      <c r="F54" s="36">
        <f t="shared" si="7"/>
        <v>0</v>
      </c>
      <c r="G54" s="30"/>
      <c r="H54" s="44">
        <v>43984</v>
      </c>
      <c r="I54" s="29">
        <v>200</v>
      </c>
      <c r="J54" s="59" t="s">
        <v>59</v>
      </c>
      <c r="K54" s="60" t="s">
        <v>60</v>
      </c>
      <c r="L54" s="68"/>
      <c r="M54" s="56"/>
      <c r="N54" s="56"/>
      <c r="O54" s="55"/>
    </row>
    <row r="55" s="1" customFormat="1" ht="18" customHeight="1" spans="1:15">
      <c r="A55" s="35"/>
      <c r="B55" s="21">
        <f t="shared" si="6"/>
        <v>0</v>
      </c>
      <c r="C55" s="39"/>
      <c r="D55" s="37"/>
      <c r="E55" s="38"/>
      <c r="F55" s="36">
        <f t="shared" si="7"/>
        <v>0</v>
      </c>
      <c r="G55" s="30"/>
      <c r="H55" s="44">
        <v>43984</v>
      </c>
      <c r="I55" s="29">
        <f>-(I66+I63+I59)</f>
        <v>-178666.95</v>
      </c>
      <c r="J55" s="59" t="s">
        <v>61</v>
      </c>
      <c r="K55" s="64" t="s">
        <v>62</v>
      </c>
      <c r="L55" s="55"/>
      <c r="M55" s="56"/>
      <c r="N55" s="56"/>
      <c r="O55" s="55"/>
    </row>
    <row r="56" s="1" customFormat="1" ht="18" customHeight="1" spans="1:15">
      <c r="A56" s="35"/>
      <c r="B56" s="21">
        <f t="shared" si="6"/>
        <v>0</v>
      </c>
      <c r="C56" s="39"/>
      <c r="D56" s="37"/>
      <c r="E56" s="38"/>
      <c r="F56" s="36">
        <f t="shared" si="7"/>
        <v>0</v>
      </c>
      <c r="G56" s="30"/>
      <c r="H56" s="44">
        <v>43984</v>
      </c>
      <c r="I56" s="29">
        <v>22048</v>
      </c>
      <c r="J56" s="59" t="s">
        <v>59</v>
      </c>
      <c r="K56" s="64" t="s">
        <v>63</v>
      </c>
      <c r="L56" s="55"/>
      <c r="M56" s="56"/>
      <c r="N56" s="56"/>
      <c r="O56" s="55"/>
    </row>
    <row r="57" s="1" customFormat="1" ht="18" customHeight="1" spans="1:15">
      <c r="A57" s="35"/>
      <c r="B57" s="21">
        <f t="shared" si="6"/>
        <v>0</v>
      </c>
      <c r="C57" s="39"/>
      <c r="D57" s="37"/>
      <c r="E57" s="38"/>
      <c r="F57" s="36">
        <f t="shared" si="7"/>
        <v>0</v>
      </c>
      <c r="G57" s="30"/>
      <c r="H57" s="26">
        <v>43972</v>
      </c>
      <c r="I57" s="27">
        <v>100</v>
      </c>
      <c r="J57" s="51" t="s">
        <v>59</v>
      </c>
      <c r="K57" s="54" t="s">
        <v>60</v>
      </c>
      <c r="L57" s="55"/>
      <c r="M57" s="56"/>
      <c r="N57" s="56"/>
      <c r="O57" s="55"/>
    </row>
    <row r="58" s="1" customFormat="1" ht="18" customHeight="1" spans="1:15">
      <c r="A58" s="35"/>
      <c r="B58" s="21">
        <f t="shared" si="6"/>
        <v>0</v>
      </c>
      <c r="C58" s="39"/>
      <c r="D58" s="37"/>
      <c r="E58" s="38"/>
      <c r="F58" s="36">
        <f t="shared" si="7"/>
        <v>0</v>
      </c>
      <c r="G58" s="30"/>
      <c r="H58" s="26">
        <v>43972</v>
      </c>
      <c r="I58" s="27">
        <v>9000</v>
      </c>
      <c r="J58" s="51" t="s">
        <v>59</v>
      </c>
      <c r="K58" s="54" t="s">
        <v>64</v>
      </c>
      <c r="L58" s="55"/>
      <c r="M58" s="56"/>
      <c r="N58" s="56"/>
      <c r="O58" s="55"/>
    </row>
    <row r="59" s="1" customFormat="1" ht="18" customHeight="1" spans="1:15">
      <c r="A59" s="35"/>
      <c r="B59" s="21">
        <f t="shared" si="6"/>
        <v>0</v>
      </c>
      <c r="C59" s="39"/>
      <c r="D59" s="37"/>
      <c r="E59" s="38"/>
      <c r="F59" s="36">
        <f t="shared" si="7"/>
        <v>0</v>
      </c>
      <c r="G59" s="30"/>
      <c r="H59" s="26">
        <v>43972</v>
      </c>
      <c r="I59" s="27">
        <v>156769.95</v>
      </c>
      <c r="J59" s="51" t="s">
        <v>65</v>
      </c>
      <c r="K59" s="54" t="s">
        <v>66</v>
      </c>
      <c r="L59" s="55"/>
      <c r="M59" s="56"/>
      <c r="N59" s="56"/>
      <c r="O59" s="55"/>
    </row>
    <row r="60" s="1" customFormat="1" ht="18" customHeight="1" spans="1:15">
      <c r="A60" s="35"/>
      <c r="B60" s="21">
        <f t="shared" si="6"/>
        <v>0</v>
      </c>
      <c r="C60" s="39"/>
      <c r="D60" s="37"/>
      <c r="E60" s="38"/>
      <c r="F60" s="36">
        <f t="shared" si="7"/>
        <v>0</v>
      </c>
      <c r="G60" s="30"/>
      <c r="H60" s="26">
        <v>43972</v>
      </c>
      <c r="I60" s="27">
        <f>K91</f>
        <v>665.513647706422</v>
      </c>
      <c r="J60" s="51" t="s">
        <v>59</v>
      </c>
      <c r="K60" s="54" t="s">
        <v>67</v>
      </c>
      <c r="L60" s="55"/>
      <c r="M60" s="56"/>
      <c r="N60" s="56"/>
      <c r="O60" s="55"/>
    </row>
    <row r="61" s="1" customFormat="1" ht="18" customHeight="1" spans="1:15">
      <c r="A61" s="35"/>
      <c r="B61" s="21">
        <f t="shared" si="6"/>
        <v>0</v>
      </c>
      <c r="C61" s="39"/>
      <c r="D61" s="37"/>
      <c r="E61" s="38"/>
      <c r="F61" s="36">
        <f t="shared" si="7"/>
        <v>0</v>
      </c>
      <c r="G61" s="30"/>
      <c r="H61" s="26">
        <v>43972</v>
      </c>
      <c r="I61" s="27">
        <f>B10*0.02</f>
        <v>22183.7882568807</v>
      </c>
      <c r="J61" s="51" t="s">
        <v>59</v>
      </c>
      <c r="K61" s="54" t="s">
        <v>68</v>
      </c>
      <c r="L61" s="55"/>
      <c r="M61" s="56"/>
      <c r="N61" s="56"/>
      <c r="O61" s="55"/>
    </row>
    <row r="62" s="1" customFormat="1" ht="18" customHeight="1" spans="1:15">
      <c r="A62" s="35"/>
      <c r="B62" s="21">
        <f t="shared" si="6"/>
        <v>0</v>
      </c>
      <c r="C62" s="39"/>
      <c r="D62" s="37"/>
      <c r="E62" s="38"/>
      <c r="F62" s="36">
        <f t="shared" si="7"/>
        <v>0</v>
      </c>
      <c r="G62" s="30"/>
      <c r="H62" s="26">
        <v>43900</v>
      </c>
      <c r="I62" s="27">
        <v>100</v>
      </c>
      <c r="J62" s="51" t="s">
        <v>59</v>
      </c>
      <c r="K62" s="54" t="s">
        <v>60</v>
      </c>
      <c r="L62" s="55"/>
      <c r="M62" s="56"/>
      <c r="N62" s="56"/>
      <c r="O62" s="55"/>
    </row>
    <row r="63" s="1" customFormat="1" ht="18" customHeight="1" spans="1:15">
      <c r="A63" s="35"/>
      <c r="B63" s="21">
        <f t="shared" si="6"/>
        <v>0</v>
      </c>
      <c r="C63" s="39"/>
      <c r="D63" s="37"/>
      <c r="E63" s="38"/>
      <c r="F63" s="36">
        <f t="shared" si="7"/>
        <v>0</v>
      </c>
      <c r="G63" s="30"/>
      <c r="H63" s="26">
        <v>43900</v>
      </c>
      <c r="I63" s="27">
        <v>-909920</v>
      </c>
      <c r="J63" s="51" t="s">
        <v>61</v>
      </c>
      <c r="K63" s="58" t="s">
        <v>69</v>
      </c>
      <c r="L63" s="55"/>
      <c r="M63" s="56"/>
      <c r="N63" s="56"/>
      <c r="O63" s="55"/>
    </row>
    <row r="64" s="1" customFormat="1" ht="18" customHeight="1" spans="1:15">
      <c r="A64" s="35"/>
      <c r="B64" s="21">
        <f t="shared" si="6"/>
        <v>0</v>
      </c>
      <c r="C64" s="39"/>
      <c r="D64" s="37"/>
      <c r="E64" s="38"/>
      <c r="F64" s="36">
        <f t="shared" si="7"/>
        <v>0</v>
      </c>
      <c r="G64" s="30"/>
      <c r="H64" s="26" t="s">
        <v>70</v>
      </c>
      <c r="I64" s="27">
        <v>200</v>
      </c>
      <c r="J64" s="51" t="s">
        <v>59</v>
      </c>
      <c r="K64" s="54" t="s">
        <v>60</v>
      </c>
      <c r="L64" s="55"/>
      <c r="M64" s="56"/>
      <c r="N64" s="56"/>
      <c r="O64" s="55"/>
    </row>
    <row r="65" s="1" customFormat="1" ht="18" customHeight="1" spans="1:15">
      <c r="A65" s="35"/>
      <c r="B65" s="21">
        <f t="shared" si="6"/>
        <v>0</v>
      </c>
      <c r="C65" s="39"/>
      <c r="D65" s="37"/>
      <c r="E65" s="74"/>
      <c r="F65" s="36">
        <f t="shared" si="7"/>
        <v>0</v>
      </c>
      <c r="G65" s="30"/>
      <c r="H65" s="26" t="s">
        <v>71</v>
      </c>
      <c r="I65" s="27">
        <v>150</v>
      </c>
      <c r="J65" s="51" t="s">
        <v>59</v>
      </c>
      <c r="K65" s="54" t="s">
        <v>60</v>
      </c>
      <c r="L65" s="55"/>
      <c r="M65" s="56"/>
      <c r="N65" s="56"/>
      <c r="O65" s="55"/>
    </row>
    <row r="66" s="1" customFormat="1" ht="18" customHeight="1" spans="1:15">
      <c r="A66" s="35"/>
      <c r="B66" s="21">
        <f t="shared" si="6"/>
        <v>0</v>
      </c>
      <c r="C66" s="39"/>
      <c r="D66" s="37"/>
      <c r="E66" s="74"/>
      <c r="F66" s="36">
        <f t="shared" si="7"/>
        <v>0</v>
      </c>
      <c r="G66" s="30"/>
      <c r="H66" s="26" t="s">
        <v>71</v>
      </c>
      <c r="I66" s="27">
        <v>931817</v>
      </c>
      <c r="J66" s="51" t="s">
        <v>65</v>
      </c>
      <c r="K66" s="54" t="s">
        <v>72</v>
      </c>
      <c r="L66" s="55"/>
      <c r="M66" s="56">
        <f>I66+I63+I59+I55</f>
        <v>0</v>
      </c>
      <c r="N66" s="56"/>
      <c r="O66" s="55"/>
    </row>
    <row r="67" s="1" customFormat="1" ht="18" customHeight="1" spans="1:15">
      <c r="A67" s="35"/>
      <c r="B67" s="21">
        <f t="shared" si="6"/>
        <v>0</v>
      </c>
      <c r="C67" s="39"/>
      <c r="D67" s="37"/>
      <c r="E67" s="74"/>
      <c r="F67" s="36">
        <f t="shared" si="7"/>
        <v>0</v>
      </c>
      <c r="G67" s="30"/>
      <c r="H67" s="26" t="s">
        <v>71</v>
      </c>
      <c r="I67" s="27">
        <v>91630</v>
      </c>
      <c r="J67" s="51" t="s">
        <v>59</v>
      </c>
      <c r="K67" s="54" t="s">
        <v>73</v>
      </c>
      <c r="L67" s="55"/>
      <c r="M67" s="56"/>
      <c r="N67" s="56"/>
      <c r="O67" s="55"/>
    </row>
    <row r="68" s="1" customFormat="1" ht="18" customHeight="1" spans="1:15">
      <c r="A68" s="35"/>
      <c r="B68" s="21">
        <f t="shared" si="6"/>
        <v>0</v>
      </c>
      <c r="C68" s="39"/>
      <c r="D68" s="37"/>
      <c r="E68" s="74"/>
      <c r="F68" s="36">
        <f t="shared" si="7"/>
        <v>0</v>
      </c>
      <c r="G68" s="30"/>
      <c r="H68" s="26" t="s">
        <v>71</v>
      </c>
      <c r="I68" s="27">
        <v>2522</v>
      </c>
      <c r="J68" s="51" t="s">
        <v>59</v>
      </c>
      <c r="K68" s="54" t="s">
        <v>67</v>
      </c>
      <c r="L68" s="55"/>
      <c r="M68" s="56"/>
      <c r="N68" s="56"/>
      <c r="O68" s="55"/>
    </row>
    <row r="69" s="1" customFormat="1" ht="18" customHeight="1" spans="1:15">
      <c r="A69" s="35"/>
      <c r="B69" s="21">
        <f t="shared" si="6"/>
        <v>0</v>
      </c>
      <c r="C69" s="39"/>
      <c r="D69" s="37"/>
      <c r="E69" s="74"/>
      <c r="F69" s="36">
        <f t="shared" si="7"/>
        <v>0</v>
      </c>
      <c r="G69" s="30"/>
      <c r="H69" s="26" t="s">
        <v>71</v>
      </c>
      <c r="I69" s="27">
        <v>200</v>
      </c>
      <c r="J69" s="51" t="s">
        <v>59</v>
      </c>
      <c r="K69" s="54" t="s">
        <v>60</v>
      </c>
      <c r="L69" s="55"/>
      <c r="M69" s="56"/>
      <c r="N69" s="56"/>
      <c r="O69" s="55"/>
    </row>
    <row r="70" s="1" customFormat="1" ht="18" customHeight="1" spans="1:15">
      <c r="A70" s="35"/>
      <c r="B70" s="21">
        <f t="shared" si="6"/>
        <v>0</v>
      </c>
      <c r="C70" s="39"/>
      <c r="D70" s="37"/>
      <c r="E70" s="74"/>
      <c r="F70" s="36">
        <f t="shared" si="7"/>
        <v>0</v>
      </c>
      <c r="G70" s="30"/>
      <c r="H70" s="26" t="s">
        <v>71</v>
      </c>
      <c r="I70" s="27">
        <v>9000</v>
      </c>
      <c r="J70" s="51" t="s">
        <v>59</v>
      </c>
      <c r="K70" s="54" t="s">
        <v>74</v>
      </c>
      <c r="L70" s="55"/>
      <c r="M70" s="56"/>
      <c r="N70" s="56"/>
      <c r="O70" s="55"/>
    </row>
    <row r="71" s="1" customFormat="1" ht="18" customHeight="1" spans="1:15">
      <c r="A71" s="35"/>
      <c r="B71" s="21">
        <f t="shared" si="6"/>
        <v>290682</v>
      </c>
      <c r="C71" s="39"/>
      <c r="D71" s="37"/>
      <c r="E71" s="74"/>
      <c r="F71" s="36">
        <f t="shared" si="7"/>
        <v>0</v>
      </c>
      <c r="G71" s="30">
        <v>290682</v>
      </c>
      <c r="H71" s="26" t="s">
        <v>71</v>
      </c>
      <c r="I71" s="27">
        <f>G71</f>
        <v>290682</v>
      </c>
      <c r="J71" s="51" t="s">
        <v>59</v>
      </c>
      <c r="K71" s="54" t="s">
        <v>75</v>
      </c>
      <c r="L71" s="55"/>
      <c r="M71" s="56"/>
      <c r="N71" s="56"/>
      <c r="O71" s="55"/>
    </row>
    <row r="72" s="1" customFormat="1" ht="18" customHeight="1" spans="1:15">
      <c r="A72" s="35"/>
      <c r="B72" s="21">
        <f t="shared" si="6"/>
        <v>0</v>
      </c>
      <c r="C72" s="39"/>
      <c r="D72" s="37"/>
      <c r="E72" s="74"/>
      <c r="F72" s="36">
        <f t="shared" si="7"/>
        <v>0</v>
      </c>
      <c r="G72" s="30"/>
      <c r="H72" s="26" t="s">
        <v>76</v>
      </c>
      <c r="I72" s="27">
        <v>3000</v>
      </c>
      <c r="J72" s="51" t="s">
        <v>59</v>
      </c>
      <c r="K72" s="54" t="s">
        <v>74</v>
      </c>
      <c r="L72" s="55"/>
      <c r="M72" s="56"/>
      <c r="N72" s="56"/>
      <c r="O72" s="55"/>
    </row>
    <row r="73" s="1" customFormat="1" ht="18" customHeight="1" spans="1:15">
      <c r="A73" s="35"/>
      <c r="B73" s="21">
        <f t="shared" si="6"/>
        <v>0</v>
      </c>
      <c r="C73" s="39"/>
      <c r="D73" s="37"/>
      <c r="E73" s="74"/>
      <c r="F73" s="36">
        <f t="shared" si="7"/>
        <v>0</v>
      </c>
      <c r="G73" s="30"/>
      <c r="H73" s="26" t="s">
        <v>76</v>
      </c>
      <c r="I73" s="27">
        <v>-563677</v>
      </c>
      <c r="J73" s="51" t="s">
        <v>61</v>
      </c>
      <c r="K73" s="54" t="s">
        <v>77</v>
      </c>
      <c r="L73" s="55"/>
      <c r="M73" s="56"/>
      <c r="N73" s="56"/>
      <c r="O73" s="55"/>
    </row>
    <row r="74" s="1" customFormat="1" ht="18" customHeight="1" spans="1:15">
      <c r="A74" s="35"/>
      <c r="B74" s="21">
        <f t="shared" si="6"/>
        <v>0</v>
      </c>
      <c r="C74" s="39"/>
      <c r="D74" s="37"/>
      <c r="E74" s="74"/>
      <c r="F74" s="36">
        <f t="shared" si="7"/>
        <v>0</v>
      </c>
      <c r="G74" s="30"/>
      <c r="H74" s="26" t="s">
        <v>76</v>
      </c>
      <c r="I74" s="27">
        <v>-181186</v>
      </c>
      <c r="J74" s="51" t="s">
        <v>78</v>
      </c>
      <c r="K74" s="54" t="s">
        <v>79</v>
      </c>
      <c r="L74" s="55"/>
      <c r="M74" s="56"/>
      <c r="N74" s="56"/>
      <c r="O74" s="55"/>
    </row>
    <row r="75" s="1" customFormat="1" ht="18" customHeight="1" spans="1:15">
      <c r="A75" s="35"/>
      <c r="B75" s="21">
        <f t="shared" si="6"/>
        <v>0</v>
      </c>
      <c r="C75" s="39"/>
      <c r="D75" s="37"/>
      <c r="E75" s="74"/>
      <c r="F75" s="21">
        <f t="shared" si="7"/>
        <v>0</v>
      </c>
      <c r="G75" s="30"/>
      <c r="H75" s="26" t="s">
        <v>76</v>
      </c>
      <c r="I75" s="70">
        <v>181186</v>
      </c>
      <c r="J75" s="51" t="s">
        <v>59</v>
      </c>
      <c r="K75" s="54" t="s">
        <v>63</v>
      </c>
      <c r="L75" s="55"/>
      <c r="M75" s="56"/>
      <c r="N75" s="56"/>
      <c r="O75" s="55"/>
    </row>
    <row r="76" s="1" customFormat="1" ht="18" customHeight="1" spans="1:15">
      <c r="A76" s="35"/>
      <c r="B76" s="21">
        <f t="shared" si="6"/>
        <v>0</v>
      </c>
      <c r="C76" s="39"/>
      <c r="D76" s="37"/>
      <c r="E76" s="74"/>
      <c r="F76" s="21">
        <f t="shared" si="7"/>
        <v>0</v>
      </c>
      <c r="G76" s="30"/>
      <c r="H76" s="26" t="s">
        <v>76</v>
      </c>
      <c r="I76" s="27">
        <v>563677</v>
      </c>
      <c r="J76" s="51" t="s">
        <v>65</v>
      </c>
      <c r="K76" s="54" t="s">
        <v>66</v>
      </c>
      <c r="L76" s="55"/>
      <c r="M76" s="56"/>
      <c r="N76" s="56"/>
      <c r="O76" s="55"/>
    </row>
    <row r="77" s="1" customFormat="1" ht="18" customHeight="1" spans="1:15">
      <c r="A77" s="35"/>
      <c r="B77" s="21">
        <f t="shared" si="6"/>
        <v>0</v>
      </c>
      <c r="C77" s="39"/>
      <c r="D77" s="37"/>
      <c r="E77" s="74"/>
      <c r="F77" s="21">
        <f t="shared" si="7"/>
        <v>0</v>
      </c>
      <c r="G77" s="30"/>
      <c r="H77" s="26" t="s">
        <v>76</v>
      </c>
      <c r="I77" s="27">
        <v>47062</v>
      </c>
      <c r="J77" s="51" t="s">
        <v>59</v>
      </c>
      <c r="K77" s="54" t="s">
        <v>80</v>
      </c>
      <c r="L77" s="55"/>
      <c r="M77" s="56"/>
      <c r="N77" s="56"/>
      <c r="O77" s="55"/>
    </row>
    <row r="78" s="1" customFormat="1" ht="18" customHeight="1" spans="1:15">
      <c r="A78" s="35"/>
      <c r="B78" s="21">
        <f t="shared" si="6"/>
        <v>0</v>
      </c>
      <c r="C78" s="39"/>
      <c r="D78" s="37"/>
      <c r="E78" s="74"/>
      <c r="F78" s="21">
        <f t="shared" si="7"/>
        <v>0</v>
      </c>
      <c r="G78" s="30"/>
      <c r="H78" s="26" t="s">
        <v>76</v>
      </c>
      <c r="I78" s="27">
        <v>1412</v>
      </c>
      <c r="J78" s="51" t="s">
        <v>59</v>
      </c>
      <c r="K78" s="54" t="s">
        <v>67</v>
      </c>
      <c r="L78" s="55"/>
      <c r="M78" s="56"/>
      <c r="N78" s="56"/>
      <c r="O78" s="55"/>
    </row>
    <row r="79" s="1" customFormat="1" ht="18" customHeight="1" spans="1:15">
      <c r="A79" s="35"/>
      <c r="B79" s="21">
        <f t="shared" si="6"/>
        <v>51296.82</v>
      </c>
      <c r="C79" s="39"/>
      <c r="D79" s="37"/>
      <c r="E79" s="74"/>
      <c r="F79" s="21">
        <f t="shared" si="7"/>
        <v>0</v>
      </c>
      <c r="G79" s="30">
        <f>I7*0.02</f>
        <v>51296.823</v>
      </c>
      <c r="H79" s="26" t="s">
        <v>76</v>
      </c>
      <c r="I79" s="27">
        <f>G79</f>
        <v>51296.823</v>
      </c>
      <c r="J79" s="51" t="s">
        <v>59</v>
      </c>
      <c r="K79" s="54" t="s">
        <v>81</v>
      </c>
      <c r="L79" s="55"/>
      <c r="M79" s="56"/>
      <c r="N79" s="56"/>
      <c r="O79" s="55"/>
    </row>
    <row r="80" s="111" customFormat="1" ht="45" customHeight="1" spans="1:15">
      <c r="A80" s="115"/>
      <c r="B80" s="116">
        <f t="shared" si="6"/>
        <v>0</v>
      </c>
      <c r="C80" s="117"/>
      <c r="D80" s="118"/>
      <c r="E80" s="119"/>
      <c r="F80" s="116">
        <f t="shared" si="7"/>
        <v>0</v>
      </c>
      <c r="G80" s="116"/>
      <c r="H80" s="120"/>
      <c r="I80" s="131"/>
      <c r="J80" s="132"/>
      <c r="K80" s="133" t="s">
        <v>82</v>
      </c>
      <c r="L80" s="134"/>
      <c r="M80" s="135"/>
      <c r="N80" s="135"/>
      <c r="O80" s="134"/>
    </row>
    <row r="81" ht="18" customHeight="1" spans="1:15">
      <c r="A81" s="113" t="s">
        <v>23</v>
      </c>
      <c r="B81" s="121">
        <f>SUM(B16:B80)</f>
        <v>8634415.34</v>
      </c>
      <c r="C81" s="113"/>
      <c r="D81" s="122"/>
      <c r="E81" s="122"/>
      <c r="F81" s="123">
        <f>SUM(F17:F80)</f>
        <v>280944.53</v>
      </c>
      <c r="G81" s="124">
        <f>SUM(G17:G80)</f>
        <v>8899970.823</v>
      </c>
      <c r="H81" s="125"/>
      <c r="I81" s="106">
        <f>SUM(I17:I80)</f>
        <v>9635040.12490459</v>
      </c>
      <c r="J81" s="136"/>
      <c r="K81" s="122"/>
      <c r="L81" s="52"/>
      <c r="M81" s="51"/>
      <c r="N81" s="51"/>
      <c r="O81" s="52"/>
    </row>
    <row r="82" ht="18" customHeight="1" spans="1:14">
      <c r="A82" s="79" t="s">
        <v>83</v>
      </c>
      <c r="B82" s="80">
        <f>B13*0.92</f>
        <v>8586086.98788991</v>
      </c>
      <c r="C82" s="79"/>
      <c r="D82" s="81"/>
      <c r="E82" s="81"/>
      <c r="F82" s="80">
        <f t="shared" ref="F82:I82" si="8">F13-F81</f>
        <v>372344.69733945</v>
      </c>
      <c r="G82" s="80">
        <f t="shared" si="8"/>
        <v>1272675.717</v>
      </c>
      <c r="H82" s="25" t="s">
        <v>84</v>
      </c>
      <c r="I82" s="106">
        <f t="shared" si="8"/>
        <v>174142.625095412</v>
      </c>
      <c r="J82" s="10"/>
      <c r="K82" s="107"/>
      <c r="M82" s="108"/>
      <c r="N82" s="108"/>
    </row>
    <row r="83" ht="18" customHeight="1" spans="1:14">
      <c r="A83" s="79" t="s">
        <v>85</v>
      </c>
      <c r="B83" s="80">
        <f>B82-B81</f>
        <v>-48328.3521100897</v>
      </c>
      <c r="C83" s="79"/>
      <c r="D83" s="81"/>
      <c r="E83" s="81"/>
      <c r="F83" s="80"/>
      <c r="G83" s="80"/>
      <c r="H83" s="82"/>
      <c r="I83" s="80"/>
      <c r="J83" s="10"/>
      <c r="K83" s="107"/>
      <c r="M83" s="108"/>
      <c r="N83" s="108"/>
    </row>
    <row r="84" ht="18" customHeight="1" spans="1:18">
      <c r="A84" s="5" t="s">
        <v>86</v>
      </c>
      <c r="C84" s="5"/>
      <c r="R84" s="10">
        <f>I63+I66+I73+I76</f>
        <v>21897</v>
      </c>
    </row>
    <row r="85" ht="18" customHeight="1" spans="1:15">
      <c r="A85" s="25" t="s">
        <v>87</v>
      </c>
      <c r="B85" s="24" t="s">
        <v>88</v>
      </c>
      <c r="C85" s="52"/>
      <c r="D85" s="25" t="s">
        <v>87</v>
      </c>
      <c r="E85" s="23" t="s">
        <v>16</v>
      </c>
      <c r="F85" s="24" t="s">
        <v>88</v>
      </c>
      <c r="G85" s="6" t="s">
        <v>89</v>
      </c>
      <c r="H85" s="126" t="s">
        <v>90</v>
      </c>
      <c r="I85" s="126" t="s">
        <v>91</v>
      </c>
      <c r="K85" s="24" t="s">
        <v>92</v>
      </c>
      <c r="M85" s="25" t="s">
        <v>123</v>
      </c>
      <c r="N85" s="25"/>
      <c r="O85" s="25"/>
    </row>
    <row r="86" ht="18" customHeight="1" spans="1:15">
      <c r="A86" s="52" t="s">
        <v>93</v>
      </c>
      <c r="B86" s="21">
        <f>(B82-B81)*0.25</f>
        <v>-12082.0880275224</v>
      </c>
      <c r="C86" s="52"/>
      <c r="D86" s="32" t="s">
        <v>94</v>
      </c>
      <c r="E86" s="25" t="s">
        <v>95</v>
      </c>
      <c r="F86" s="123">
        <f>F13-F81</f>
        <v>372344.69733945</v>
      </c>
      <c r="G86" s="6">
        <f>F7</f>
        <v>164714.569266055</v>
      </c>
      <c r="H86" s="127">
        <f>F7</f>
        <v>164714.569266055</v>
      </c>
      <c r="I86" s="27">
        <f>F9-F19-F20</f>
        <v>223803.614036697</v>
      </c>
      <c r="K86" s="27">
        <f>F86-H86-I86+G97+I97</f>
        <v>136752.184036698</v>
      </c>
      <c r="M86" s="51">
        <f>F86-H86-I86-K86+G97+I97</f>
        <v>0</v>
      </c>
      <c r="N86" s="51"/>
      <c r="O86" s="51"/>
    </row>
    <row r="87" ht="18" customHeight="1" spans="1:15">
      <c r="A87" s="52" t="s">
        <v>96</v>
      </c>
      <c r="B87" s="87" t="s">
        <v>97</v>
      </c>
      <c r="C87" s="52"/>
      <c r="D87" s="88" t="s">
        <v>98</v>
      </c>
      <c r="E87" s="17">
        <v>0.05</v>
      </c>
      <c r="F87" s="27">
        <f>F86*E87</f>
        <v>18617.2348669725</v>
      </c>
      <c r="G87" s="6">
        <f>G86*E87</f>
        <v>8235.72846330275</v>
      </c>
      <c r="H87" s="128">
        <f>H86*E87</f>
        <v>8235.72846330275</v>
      </c>
      <c r="I87" s="27">
        <f>I86*E87</f>
        <v>11190.1807018349</v>
      </c>
      <c r="K87" s="27">
        <f>K86*E87</f>
        <v>6837.6092018349</v>
      </c>
      <c r="M87" s="51">
        <v>0</v>
      </c>
      <c r="N87" s="51"/>
      <c r="O87" s="51"/>
    </row>
    <row r="88" ht="18" customHeight="1" spans="1:15">
      <c r="A88" s="52" t="s">
        <v>67</v>
      </c>
      <c r="B88" s="87"/>
      <c r="C88" s="52"/>
      <c r="D88" s="88" t="s">
        <v>99</v>
      </c>
      <c r="E88" s="17">
        <v>0.03</v>
      </c>
      <c r="F88" s="27">
        <f>F86*E88</f>
        <v>11170.3409201835</v>
      </c>
      <c r="G88" s="6">
        <f>G86*E88</f>
        <v>4941.43707798165</v>
      </c>
      <c r="H88" s="128">
        <f>H86*E88</f>
        <v>4941.43707798165</v>
      </c>
      <c r="I88" s="27">
        <f>I86*E88</f>
        <v>6714.10842110092</v>
      </c>
      <c r="K88" s="27">
        <f>K86*E88</f>
        <v>4102.56552110094</v>
      </c>
      <c r="M88" s="51">
        <v>0</v>
      </c>
      <c r="N88" s="51"/>
      <c r="O88" s="51"/>
    </row>
    <row r="89" ht="18" customHeight="1" spans="1:15">
      <c r="A89" s="52"/>
      <c r="B89" s="27"/>
      <c r="C89" s="52"/>
      <c r="D89" s="88" t="s">
        <v>100</v>
      </c>
      <c r="E89" s="17">
        <v>0.02</v>
      </c>
      <c r="F89" s="27">
        <f>F86*E89</f>
        <v>7446.893946789</v>
      </c>
      <c r="G89" s="6">
        <f>G86*E89</f>
        <v>3294.2913853211</v>
      </c>
      <c r="H89" s="128">
        <f>H86*E89</f>
        <v>3294.2913853211</v>
      </c>
      <c r="I89" s="27">
        <f>I86*E89</f>
        <v>4476.07228073394</v>
      </c>
      <c r="K89" s="27">
        <f>K86*E89</f>
        <v>2735.04368073396</v>
      </c>
      <c r="M89" s="51" t="s">
        <v>123</v>
      </c>
      <c r="N89" s="51"/>
      <c r="O89" s="51"/>
    </row>
    <row r="90" ht="18" customHeight="1" spans="1:15">
      <c r="A90" s="32" t="s">
        <v>101</v>
      </c>
      <c r="B90" s="121">
        <f t="shared" ref="B90:I90" si="9">SUM(B86:B89)</f>
        <v>-12082.0880275224</v>
      </c>
      <c r="C90" s="52"/>
      <c r="D90" s="34" t="s">
        <v>101</v>
      </c>
      <c r="E90" s="32"/>
      <c r="F90" s="123">
        <f t="shared" si="9"/>
        <v>409579.167073395</v>
      </c>
      <c r="G90" s="6">
        <f t="shared" si="9"/>
        <v>181186.026192661</v>
      </c>
      <c r="H90" s="127">
        <f t="shared" si="9"/>
        <v>181186.026192661</v>
      </c>
      <c r="I90" s="27">
        <f t="shared" si="9"/>
        <v>246183.975440367</v>
      </c>
      <c r="K90" s="27">
        <f>SUM(K86:K89)</f>
        <v>150427.402440368</v>
      </c>
      <c r="M90" s="51">
        <v>0</v>
      </c>
      <c r="N90" s="51"/>
      <c r="O90" s="51"/>
    </row>
    <row r="91" ht="18" customHeight="1" spans="3:15">
      <c r="C91" s="5"/>
      <c r="D91" s="15" t="s">
        <v>67</v>
      </c>
      <c r="E91" s="129">
        <v>0.0006</v>
      </c>
      <c r="F91" s="27">
        <f>B13*E91</f>
        <v>5599.62194862385</v>
      </c>
      <c r="H91" s="27">
        <f>B7*E91</f>
        <v>1411.83916513761</v>
      </c>
      <c r="I91" s="27">
        <f>B9*0.0006</f>
        <v>2521.91009174312</v>
      </c>
      <c r="K91" s="70">
        <f>B10*E91</f>
        <v>665.513647706422</v>
      </c>
      <c r="M91" s="51">
        <f>E91*B11</f>
        <v>1000.3590440367</v>
      </c>
      <c r="N91" s="51"/>
      <c r="O91" s="51"/>
    </row>
    <row r="92" ht="18" customHeight="1" spans="3:15">
      <c r="C92" s="5"/>
      <c r="D92" s="23" t="s">
        <v>101</v>
      </c>
      <c r="E92" s="122"/>
      <c r="F92" s="106">
        <f>F91</f>
        <v>5599.62194862385</v>
      </c>
      <c r="H92" s="106">
        <f>H91</f>
        <v>1411.83916513761</v>
      </c>
      <c r="I92" s="27"/>
      <c r="K92" s="52"/>
      <c r="M92" s="109">
        <f>M91</f>
        <v>1000.3590440367</v>
      </c>
      <c r="N92" s="109"/>
      <c r="O92" s="109"/>
    </row>
    <row r="93" ht="18" customHeight="1" spans="3:15">
      <c r="C93" s="5"/>
      <c r="D93" s="23" t="s">
        <v>23</v>
      </c>
      <c r="E93" s="113"/>
      <c r="F93" s="106">
        <f>F90+F92</f>
        <v>415178.789022019</v>
      </c>
      <c r="H93" s="106">
        <f>H90+H92</f>
        <v>182597.865357798</v>
      </c>
      <c r="I93" s="27"/>
      <c r="K93" s="52"/>
      <c r="M93" s="109"/>
      <c r="N93" s="109"/>
      <c r="O93" s="109"/>
    </row>
    <row r="94" ht="18" customHeight="1" spans="3:15">
      <c r="C94" s="5"/>
      <c r="D94" s="113" t="s">
        <v>93</v>
      </c>
      <c r="E94" s="122">
        <v>0.02</v>
      </c>
      <c r="F94" s="106">
        <f>B13*E94</f>
        <v>186654.064954128</v>
      </c>
      <c r="G94" s="130" t="s">
        <v>102</v>
      </c>
      <c r="H94" s="106">
        <f>B7*E94</f>
        <v>47061.3055045872</v>
      </c>
      <c r="I94" s="52">
        <f>G9*E94</f>
        <v>91629.4</v>
      </c>
      <c r="K94" s="52">
        <f>B10*E94</f>
        <v>22183.7882568807</v>
      </c>
      <c r="M94" s="109">
        <f>E94*G11</f>
        <v>36346.3786</v>
      </c>
      <c r="N94" s="109"/>
      <c r="O94" s="109"/>
    </row>
    <row r="95" ht="18" customHeight="1" spans="3:7">
      <c r="C95" s="5"/>
      <c r="G95" s="130" t="s">
        <v>103</v>
      </c>
    </row>
    <row r="96" ht="18" customHeight="1" spans="3:9">
      <c r="C96" s="5"/>
      <c r="E96" s="25" t="s">
        <v>87</v>
      </c>
      <c r="F96" s="23" t="s">
        <v>16</v>
      </c>
      <c r="G96" s="24" t="s">
        <v>104</v>
      </c>
      <c r="H96" s="15"/>
      <c r="I96" s="27" t="s">
        <v>105</v>
      </c>
    </row>
    <row r="97" ht="18" customHeight="1" spans="3:9">
      <c r="C97" s="5"/>
      <c r="E97" s="32" t="s">
        <v>94</v>
      </c>
      <c r="F97" s="25" t="s">
        <v>95</v>
      </c>
      <c r="G97" s="123">
        <f>F17+F18</f>
        <v>115191.16</v>
      </c>
      <c r="H97" s="15"/>
      <c r="I97" s="27">
        <f>F23</f>
        <v>37734.51</v>
      </c>
    </row>
    <row r="98" spans="3:9">
      <c r="C98" s="5"/>
      <c r="E98" s="88" t="s">
        <v>98</v>
      </c>
      <c r="F98" s="17">
        <v>0.05</v>
      </c>
      <c r="G98" s="27">
        <f>G97*E87</f>
        <v>5759.558</v>
      </c>
      <c r="H98" s="15"/>
      <c r="I98" s="27">
        <f>I97*E87</f>
        <v>1886.7255</v>
      </c>
    </row>
    <row r="99" spans="3:9">
      <c r="C99" s="5"/>
      <c r="E99" s="88" t="s">
        <v>99</v>
      </c>
      <c r="F99" s="17">
        <v>0.03</v>
      </c>
      <c r="G99" s="27">
        <f>G97*E88</f>
        <v>3455.7348</v>
      </c>
      <c r="H99" s="15"/>
      <c r="I99" s="27">
        <f>I97*E88</f>
        <v>1132.0353</v>
      </c>
    </row>
    <row r="100" spans="3:9">
      <c r="C100" s="5"/>
      <c r="E100" s="88" t="s">
        <v>100</v>
      </c>
      <c r="F100" s="17">
        <v>0.02</v>
      </c>
      <c r="G100" s="27">
        <f>G97*E89</f>
        <v>2303.8232</v>
      </c>
      <c r="H100" s="15"/>
      <c r="I100" s="27">
        <f>I97*E89</f>
        <v>754.6902</v>
      </c>
    </row>
    <row r="101" spans="3:9">
      <c r="C101" s="5"/>
      <c r="E101" s="34" t="s">
        <v>101</v>
      </c>
      <c r="F101" s="32"/>
      <c r="G101" s="123">
        <f>SUM(G97:G100)</f>
        <v>126710.276</v>
      </c>
      <c r="H101" s="15"/>
      <c r="I101" s="137">
        <f>SUM(I97:I100)</f>
        <v>41507.961</v>
      </c>
    </row>
    <row r="102" spans="3:9">
      <c r="C102" s="5"/>
      <c r="G102" s="80" t="s">
        <v>106</v>
      </c>
      <c r="I102" s="80" t="s">
        <v>107</v>
      </c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</sheetData>
  <protectedRanges>
    <protectedRange sqref="I19" name="区域1"/>
  </protectedRanges>
  <autoFilter ref="A15:R112">
    <extLst/>
  </autoFilter>
  <mergeCells count="18">
    <mergeCell ref="A1:J1"/>
    <mergeCell ref="H2:J2"/>
    <mergeCell ref="C5:D5"/>
    <mergeCell ref="E5:F5"/>
    <mergeCell ref="H5:J5"/>
    <mergeCell ref="M85:O85"/>
    <mergeCell ref="M86:O86"/>
    <mergeCell ref="M87:O87"/>
    <mergeCell ref="M88:O88"/>
    <mergeCell ref="M89:O89"/>
    <mergeCell ref="M90:O90"/>
    <mergeCell ref="M91:O91"/>
    <mergeCell ref="M92:O92"/>
    <mergeCell ref="M93:O93"/>
    <mergeCell ref="M94:O94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2"/>
  <sheetViews>
    <sheetView topLeftCell="A34" workbookViewId="0">
      <selection activeCell="N57" sqref="N57"/>
    </sheetView>
  </sheetViews>
  <sheetFormatPr defaultColWidth="9" defaultRowHeight="11.25"/>
  <cols>
    <col min="1" max="1" width="10.75" style="5" customWidth="1"/>
    <col min="2" max="2" width="13.1333333333333" style="6" customWidth="1"/>
    <col min="3" max="3" width="6" style="7" customWidth="1"/>
    <col min="4" max="4" width="14.5" style="7" customWidth="1"/>
    <col min="5" max="5" width="6" style="7" customWidth="1"/>
    <col min="6" max="6" width="13.1333333333333" style="6" customWidth="1"/>
    <col min="7" max="7" width="15.5" style="6" customWidth="1"/>
    <col min="8" max="8" width="12.6333333333333" style="7" customWidth="1"/>
    <col min="9" max="9" width="13.8833333333333" style="6" customWidth="1"/>
    <col min="10" max="10" width="6.13333333333333" style="9" customWidth="1"/>
    <col min="11" max="11" width="31.5" style="10" customWidth="1"/>
    <col min="12" max="12" width="12.75" style="10" customWidth="1"/>
    <col min="13" max="13" width="8.38333333333333" style="10" customWidth="1"/>
    <col min="14" max="14" width="5.63333333333333" style="10" customWidth="1"/>
    <col min="15" max="15" width="9.63333333333333" style="10"/>
    <col min="16" max="17" width="9" style="10"/>
    <col min="18" max="18" width="10.3833333333333" style="10"/>
    <col min="19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2"/>
      <c r="L1" s="22"/>
    </row>
    <row r="2" ht="18" customHeight="1" spans="1:12">
      <c r="A2" s="13" t="s">
        <v>1</v>
      </c>
      <c r="B2" s="14">
        <v>43594</v>
      </c>
      <c r="C2" s="15" t="s">
        <v>2</v>
      </c>
      <c r="D2" s="16">
        <v>17098941</v>
      </c>
      <c r="E2" s="17" t="s">
        <v>3</v>
      </c>
      <c r="F2" s="18" t="s">
        <v>4</v>
      </c>
      <c r="G2" s="19" t="s">
        <v>5</v>
      </c>
      <c r="H2" s="112" t="s">
        <v>6</v>
      </c>
      <c r="I2" s="48"/>
      <c r="J2" s="49"/>
      <c r="K2" s="22"/>
      <c r="L2" s="22"/>
    </row>
    <row r="3" ht="18" customHeight="1" spans="1:12">
      <c r="A3" s="13" t="s">
        <v>7</v>
      </c>
      <c r="B3" s="21"/>
      <c r="C3" s="15" t="s">
        <v>8</v>
      </c>
      <c r="D3" s="15"/>
      <c r="H3" s="22"/>
      <c r="I3" s="50"/>
      <c r="J3" s="22"/>
      <c r="K3" s="22"/>
      <c r="L3" s="22"/>
    </row>
    <row r="4" ht="18" customHeight="1" spans="1:12">
      <c r="A4" s="5" t="s">
        <v>9</v>
      </c>
      <c r="H4" s="22"/>
      <c r="I4" s="50"/>
      <c r="J4" s="22"/>
      <c r="K4" s="22"/>
      <c r="L4" s="22"/>
    </row>
    <row r="5" ht="18" customHeight="1" spans="1:10">
      <c r="A5" s="23" t="s">
        <v>10</v>
      </c>
      <c r="B5" s="24" t="s">
        <v>11</v>
      </c>
      <c r="C5" s="23" t="s">
        <v>12</v>
      </c>
      <c r="D5" s="23"/>
      <c r="E5" s="23" t="s">
        <v>13</v>
      </c>
      <c r="F5" s="24"/>
      <c r="G5" s="24" t="s">
        <v>14</v>
      </c>
      <c r="H5" s="25" t="s">
        <v>15</v>
      </c>
      <c r="I5" s="24"/>
      <c r="J5" s="25"/>
    </row>
    <row r="6" ht="18" customHeight="1" spans="1:10">
      <c r="A6" s="23"/>
      <c r="B6" s="24"/>
      <c r="C6" s="23" t="s">
        <v>16</v>
      </c>
      <c r="D6" s="23" t="s">
        <v>17</v>
      </c>
      <c r="E6" s="23" t="s">
        <v>16</v>
      </c>
      <c r="F6" s="24" t="s">
        <v>17</v>
      </c>
      <c r="G6" s="24"/>
      <c r="H6" s="25" t="s">
        <v>18</v>
      </c>
      <c r="I6" s="24" t="s">
        <v>19</v>
      </c>
      <c r="J6" s="25" t="s">
        <v>20</v>
      </c>
    </row>
    <row r="7" ht="18" customHeight="1" spans="1:10">
      <c r="A7" s="26">
        <v>43679</v>
      </c>
      <c r="B7" s="27">
        <f t="shared" ref="B7:B12" si="0">G7/(1+C7+E7)</f>
        <v>2353065.27522936</v>
      </c>
      <c r="C7" s="28">
        <v>0.02</v>
      </c>
      <c r="D7" s="29">
        <f t="shared" ref="D7:D12" si="1">G7/(1+E7+C7)*C7</f>
        <v>47061.3055045872</v>
      </c>
      <c r="E7" s="28">
        <v>0.07</v>
      </c>
      <c r="F7" s="27">
        <f t="shared" ref="F7:F12" si="2">G7/(1+C7+E7)*E7</f>
        <v>164714.569266055</v>
      </c>
      <c r="G7" s="30">
        <v>2564841.15</v>
      </c>
      <c r="H7" s="26">
        <v>43682</v>
      </c>
      <c r="I7" s="27">
        <v>2564841.15</v>
      </c>
      <c r="J7" s="51" t="s">
        <v>21</v>
      </c>
    </row>
    <row r="8" ht="18" customHeight="1" spans="1:10">
      <c r="A8" s="26"/>
      <c r="B8" s="27"/>
      <c r="C8" s="28"/>
      <c r="D8" s="29"/>
      <c r="E8" s="28"/>
      <c r="F8" s="27"/>
      <c r="G8" s="30"/>
      <c r="H8" s="26">
        <v>43850</v>
      </c>
      <c r="I8" s="27">
        <v>3665176</v>
      </c>
      <c r="J8" s="51" t="s">
        <v>21</v>
      </c>
    </row>
    <row r="9" ht="18" customHeight="1" spans="1:10">
      <c r="A9" s="26">
        <v>43838</v>
      </c>
      <c r="B9" s="27">
        <f t="shared" si="0"/>
        <v>4203183.48623853</v>
      </c>
      <c r="C9" s="28">
        <v>0.02</v>
      </c>
      <c r="D9" s="29">
        <f t="shared" si="1"/>
        <v>84063.6697247706</v>
      </c>
      <c r="E9" s="31">
        <v>0.07</v>
      </c>
      <c r="F9" s="27">
        <f t="shared" si="2"/>
        <v>294222.844036697</v>
      </c>
      <c r="G9" s="30">
        <v>4581470</v>
      </c>
      <c r="H9" s="26">
        <v>43850</v>
      </c>
      <c r="I9" s="27">
        <v>916294</v>
      </c>
      <c r="J9" s="51" t="s">
        <v>22</v>
      </c>
    </row>
    <row r="10" ht="18" customHeight="1" spans="1:10">
      <c r="A10" s="26">
        <v>43962</v>
      </c>
      <c r="B10" s="27">
        <f t="shared" si="0"/>
        <v>1109189.41284404</v>
      </c>
      <c r="C10" s="31">
        <v>0.02</v>
      </c>
      <c r="D10" s="29">
        <f t="shared" si="1"/>
        <v>22183.7882568807</v>
      </c>
      <c r="E10" s="31">
        <v>0.07</v>
      </c>
      <c r="F10" s="27">
        <f t="shared" si="2"/>
        <v>77643.2588990826</v>
      </c>
      <c r="G10" s="30">
        <v>1209016.46</v>
      </c>
      <c r="H10" s="26">
        <v>43971</v>
      </c>
      <c r="I10" s="27">
        <v>1209016.46</v>
      </c>
      <c r="J10" s="51" t="s">
        <v>21</v>
      </c>
    </row>
    <row r="11" ht="18" customHeight="1" spans="1:10">
      <c r="A11" s="26">
        <v>44092</v>
      </c>
      <c r="B11" s="27">
        <f t="shared" si="0"/>
        <v>1667265.0733945</v>
      </c>
      <c r="C11" s="31">
        <v>0.02</v>
      </c>
      <c r="D11" s="29">
        <f t="shared" si="1"/>
        <v>33345.3014678899</v>
      </c>
      <c r="E11" s="31">
        <v>0.07</v>
      </c>
      <c r="F11" s="27">
        <f t="shared" si="2"/>
        <v>116708.555137615</v>
      </c>
      <c r="G11" s="30">
        <v>1817318.93</v>
      </c>
      <c r="H11" s="26">
        <v>44119</v>
      </c>
      <c r="I11" s="27">
        <v>1453855.14</v>
      </c>
      <c r="J11" s="51" t="s">
        <v>124</v>
      </c>
    </row>
    <row r="12" ht="18" customHeight="1" spans="1:10">
      <c r="A12" s="26"/>
      <c r="B12" s="27">
        <f t="shared" si="0"/>
        <v>0</v>
      </c>
      <c r="C12" s="28">
        <v>0.02</v>
      </c>
      <c r="D12" s="29">
        <f t="shared" si="1"/>
        <v>0</v>
      </c>
      <c r="E12" s="31">
        <v>0.07</v>
      </c>
      <c r="F12" s="27">
        <f t="shared" si="2"/>
        <v>0</v>
      </c>
      <c r="G12" s="30"/>
      <c r="H12" s="26">
        <v>44135</v>
      </c>
      <c r="I12" s="27">
        <v>364123.4</v>
      </c>
      <c r="J12" s="51" t="s">
        <v>131</v>
      </c>
    </row>
    <row r="13" ht="18" customHeight="1" spans="1:10">
      <c r="A13" s="32" t="s">
        <v>23</v>
      </c>
      <c r="B13" s="33">
        <f t="shared" ref="B13:G13" si="3">SUM(B7:B12)</f>
        <v>9332703.24770642</v>
      </c>
      <c r="C13" s="113"/>
      <c r="D13" s="106">
        <f t="shared" si="3"/>
        <v>186654.064954128</v>
      </c>
      <c r="E13" s="113"/>
      <c r="F13" s="33">
        <f t="shared" si="3"/>
        <v>653289.22733945</v>
      </c>
      <c r="G13" s="106">
        <f t="shared" si="3"/>
        <v>10172646.54</v>
      </c>
      <c r="H13" s="52"/>
      <c r="I13" s="106">
        <f>SUM(I7:I12)</f>
        <v>10173306.15</v>
      </c>
      <c r="J13" s="52"/>
    </row>
    <row r="14" ht="18" customHeight="1" spans="1:12">
      <c r="A14" s="5" t="s">
        <v>24</v>
      </c>
      <c r="J14" s="7"/>
      <c r="K14" s="7"/>
      <c r="L14" s="9"/>
    </row>
    <row r="15" ht="18" customHeight="1" spans="1:15">
      <c r="A15" s="34" t="s">
        <v>25</v>
      </c>
      <c r="B15" s="24" t="s">
        <v>26</v>
      </c>
      <c r="C15" s="23" t="s">
        <v>27</v>
      </c>
      <c r="D15" s="23" t="s">
        <v>28</v>
      </c>
      <c r="E15" s="23" t="s">
        <v>16</v>
      </c>
      <c r="F15" s="24" t="s">
        <v>29</v>
      </c>
      <c r="G15" s="24" t="s">
        <v>14</v>
      </c>
      <c r="H15" s="23" t="s">
        <v>30</v>
      </c>
      <c r="I15" s="24" t="s">
        <v>31</v>
      </c>
      <c r="J15" s="23" t="s">
        <v>20</v>
      </c>
      <c r="K15" s="53" t="s">
        <v>32</v>
      </c>
      <c r="L15" s="25" t="s">
        <v>33</v>
      </c>
      <c r="M15" s="25" t="s">
        <v>34</v>
      </c>
      <c r="N15" s="25" t="s">
        <v>35</v>
      </c>
      <c r="O15" s="25" t="s">
        <v>36</v>
      </c>
    </row>
    <row r="16" customFormat="1" ht="18" customHeight="1" spans="1:15">
      <c r="A16" s="35">
        <v>43647</v>
      </c>
      <c r="B16" s="36">
        <f t="shared" ref="B16:B34" si="4">ROUND(G16/(1+E16),2)</f>
        <v>15389.05</v>
      </c>
      <c r="C16" s="23"/>
      <c r="D16" s="37" t="s">
        <v>37</v>
      </c>
      <c r="E16" s="38"/>
      <c r="F16" s="36">
        <f t="shared" ref="F16:F38" si="5">ROUND(G16/(1+E16)*E16,2)</f>
        <v>0</v>
      </c>
      <c r="G16" s="30">
        <v>15389.05</v>
      </c>
      <c r="H16" s="23"/>
      <c r="I16" s="24"/>
      <c r="J16" s="23"/>
      <c r="K16" s="53"/>
      <c r="L16" s="25"/>
      <c r="M16" s="25"/>
      <c r="N16" s="25"/>
      <c r="O16" s="25"/>
    </row>
    <row r="17" s="1" customFormat="1" ht="18" customHeight="1" spans="1:15">
      <c r="A17" s="35">
        <v>43678</v>
      </c>
      <c r="B17" s="36">
        <f t="shared" si="4"/>
        <v>619469.03</v>
      </c>
      <c r="C17" s="39"/>
      <c r="D17" s="37" t="s">
        <v>38</v>
      </c>
      <c r="E17" s="38">
        <v>0.13</v>
      </c>
      <c r="F17" s="36">
        <f t="shared" si="5"/>
        <v>80530.97</v>
      </c>
      <c r="G17" s="30">
        <v>700000</v>
      </c>
      <c r="H17" s="26">
        <v>43683</v>
      </c>
      <c r="I17" s="27">
        <v>700000</v>
      </c>
      <c r="J17" s="51" t="s">
        <v>21</v>
      </c>
      <c r="K17" s="54" t="s">
        <v>39</v>
      </c>
      <c r="L17" s="55" t="s">
        <v>40</v>
      </c>
      <c r="M17" s="56" t="s">
        <v>41</v>
      </c>
      <c r="N17" s="56" t="s">
        <v>42</v>
      </c>
      <c r="O17" s="55"/>
    </row>
    <row r="18" s="1" customFormat="1" ht="18" customHeight="1" spans="1:15">
      <c r="A18" s="35">
        <v>43678</v>
      </c>
      <c r="B18" s="36">
        <f t="shared" si="4"/>
        <v>1155339.81</v>
      </c>
      <c r="C18" s="39"/>
      <c r="D18" s="37" t="s">
        <v>38</v>
      </c>
      <c r="E18" s="38">
        <v>0.03</v>
      </c>
      <c r="F18" s="36">
        <f t="shared" si="5"/>
        <v>34660.19</v>
      </c>
      <c r="G18" s="30">
        <v>1190000</v>
      </c>
      <c r="H18" s="26">
        <v>43683</v>
      </c>
      <c r="I18" s="27">
        <v>1190000</v>
      </c>
      <c r="J18" s="51" t="s">
        <v>21</v>
      </c>
      <c r="K18" s="54" t="s">
        <v>43</v>
      </c>
      <c r="L18" s="55" t="s">
        <v>44</v>
      </c>
      <c r="M18" s="56"/>
      <c r="N18" s="56"/>
      <c r="O18" s="55"/>
    </row>
    <row r="19" s="1" customFormat="1" ht="18" customHeight="1" spans="1:15">
      <c r="A19" s="35">
        <v>43709</v>
      </c>
      <c r="B19" s="21">
        <f t="shared" si="4"/>
        <v>487699.12</v>
      </c>
      <c r="C19" s="39"/>
      <c r="D19" s="37" t="s">
        <v>38</v>
      </c>
      <c r="E19" s="38">
        <v>0.13</v>
      </c>
      <c r="F19" s="36">
        <f t="shared" si="5"/>
        <v>63400.88</v>
      </c>
      <c r="G19" s="30">
        <f>95700+99000*2+66000+92400+99000</f>
        <v>551100</v>
      </c>
      <c r="H19" s="26">
        <v>43718</v>
      </c>
      <c r="I19" s="57">
        <v>551100</v>
      </c>
      <c r="J19" s="51" t="s">
        <v>21</v>
      </c>
      <c r="K19" s="54" t="s">
        <v>39</v>
      </c>
      <c r="L19" s="55" t="s">
        <v>45</v>
      </c>
      <c r="M19" s="56" t="s">
        <v>41</v>
      </c>
      <c r="N19" s="56" t="s">
        <v>46</v>
      </c>
      <c r="O19" s="55"/>
    </row>
    <row r="20" s="1" customFormat="1" ht="18" customHeight="1" spans="1:15">
      <c r="A20" s="35">
        <v>43709</v>
      </c>
      <c r="B20" s="21">
        <f t="shared" si="4"/>
        <v>77981.65</v>
      </c>
      <c r="C20" s="39"/>
      <c r="D20" s="37" t="s">
        <v>38</v>
      </c>
      <c r="E20" s="38">
        <v>0.09</v>
      </c>
      <c r="F20" s="36">
        <f t="shared" si="5"/>
        <v>7018.35</v>
      </c>
      <c r="G20" s="30">
        <v>85000</v>
      </c>
      <c r="H20" s="26"/>
      <c r="I20" s="27"/>
      <c r="J20" s="51"/>
      <c r="K20" s="58" t="s">
        <v>47</v>
      </c>
      <c r="L20" s="55" t="s">
        <v>48</v>
      </c>
      <c r="M20" s="56"/>
      <c r="N20" s="56"/>
      <c r="O20" s="55"/>
    </row>
    <row r="21" s="1" customFormat="1" ht="18" customHeight="1" spans="1:15">
      <c r="A21" s="35"/>
      <c r="B21" s="21">
        <f t="shared" si="4"/>
        <v>0</v>
      </c>
      <c r="C21" s="39"/>
      <c r="D21" s="37"/>
      <c r="E21" s="40"/>
      <c r="F21" s="36">
        <f t="shared" si="5"/>
        <v>0</v>
      </c>
      <c r="G21" s="30"/>
      <c r="H21" s="26">
        <v>43851</v>
      </c>
      <c r="I21" s="27">
        <v>85000</v>
      </c>
      <c r="J21" s="51" t="s">
        <v>21</v>
      </c>
      <c r="K21" s="58" t="s">
        <v>49</v>
      </c>
      <c r="L21" s="55" t="s">
        <v>48</v>
      </c>
      <c r="M21" s="56"/>
      <c r="N21" s="56"/>
      <c r="O21" s="55"/>
    </row>
    <row r="22" s="2" customFormat="1" ht="18" customHeight="1" spans="1:15">
      <c r="A22" s="41">
        <v>43891</v>
      </c>
      <c r="B22" s="36">
        <f t="shared" si="4"/>
        <v>387610.62</v>
      </c>
      <c r="C22" s="42">
        <v>5</v>
      </c>
      <c r="D22" s="43" t="s">
        <v>38</v>
      </c>
      <c r="E22" s="40">
        <v>0.13</v>
      </c>
      <c r="F22" s="36">
        <f t="shared" si="5"/>
        <v>50389.38</v>
      </c>
      <c r="G22" s="30">
        <f>83422.36+92199+62519.24+99995.4+99864</f>
        <v>438000</v>
      </c>
      <c r="H22" s="44">
        <v>43852</v>
      </c>
      <c r="I22" s="29">
        <v>438000</v>
      </c>
      <c r="J22" s="59" t="s">
        <v>21</v>
      </c>
      <c r="K22" s="60" t="s">
        <v>50</v>
      </c>
      <c r="L22" s="61" t="s">
        <v>51</v>
      </c>
      <c r="M22" s="62"/>
      <c r="N22" s="63" t="s">
        <v>114</v>
      </c>
      <c r="O22" s="61"/>
    </row>
    <row r="23" s="2" customFormat="1" ht="18" customHeight="1" spans="1:15">
      <c r="A23" s="41">
        <v>43831</v>
      </c>
      <c r="B23" s="36">
        <f t="shared" si="4"/>
        <v>290265.49</v>
      </c>
      <c r="C23" s="42"/>
      <c r="D23" s="43" t="s">
        <v>38</v>
      </c>
      <c r="E23" s="40">
        <v>0.13</v>
      </c>
      <c r="F23" s="36">
        <f t="shared" si="5"/>
        <v>37734.51</v>
      </c>
      <c r="G23" s="30">
        <f>73800+82000+90200+82000</f>
        <v>328000</v>
      </c>
      <c r="H23" s="44">
        <v>43852</v>
      </c>
      <c r="I23" s="29">
        <v>328000</v>
      </c>
      <c r="J23" s="59" t="s">
        <v>21</v>
      </c>
      <c r="K23" s="60" t="s">
        <v>39</v>
      </c>
      <c r="L23" s="61" t="s">
        <v>52</v>
      </c>
      <c r="M23" s="62" t="s">
        <v>41</v>
      </c>
      <c r="N23" s="62" t="s">
        <v>41</v>
      </c>
      <c r="O23" s="61"/>
    </row>
    <row r="24" s="2" customFormat="1" ht="18" customHeight="1" spans="1:15">
      <c r="A24" s="41"/>
      <c r="B24" s="36">
        <f t="shared" si="4"/>
        <v>0</v>
      </c>
      <c r="C24" s="42"/>
      <c r="D24" s="43"/>
      <c r="E24" s="40"/>
      <c r="F24" s="36">
        <f t="shared" si="5"/>
        <v>0</v>
      </c>
      <c r="G24" s="30"/>
      <c r="H24" s="44">
        <v>43852</v>
      </c>
      <c r="I24" s="29">
        <v>916294</v>
      </c>
      <c r="J24" s="59" t="s">
        <v>22</v>
      </c>
      <c r="K24" s="60" t="s">
        <v>53</v>
      </c>
      <c r="L24" s="61" t="s">
        <v>54</v>
      </c>
      <c r="M24" s="62">
        <v>5138695.06</v>
      </c>
      <c r="N24" s="62"/>
      <c r="O24" s="61"/>
    </row>
    <row r="25" s="2" customFormat="1" ht="18" customHeight="1" spans="1:15">
      <c r="A25" s="41">
        <v>43891</v>
      </c>
      <c r="B25" s="36">
        <f t="shared" si="4"/>
        <v>2721460</v>
      </c>
      <c r="C25" s="42"/>
      <c r="D25" s="43" t="s">
        <v>37</v>
      </c>
      <c r="E25" s="40"/>
      <c r="F25" s="36">
        <f t="shared" si="5"/>
        <v>0</v>
      </c>
      <c r="G25" s="30">
        <f>100000*27+21460</f>
        <v>2721460</v>
      </c>
      <c r="H25" s="44">
        <v>43852</v>
      </c>
      <c r="I25" s="29">
        <v>980000</v>
      </c>
      <c r="J25" s="59" t="s">
        <v>21</v>
      </c>
      <c r="K25" s="60" t="s">
        <v>53</v>
      </c>
      <c r="L25" s="61" t="s">
        <v>54</v>
      </c>
      <c r="M25" s="62" t="s">
        <v>41</v>
      </c>
      <c r="N25" s="62"/>
      <c r="O25" s="61"/>
    </row>
    <row r="26" s="2" customFormat="1" ht="18" customHeight="1" spans="1:15">
      <c r="A26" s="41">
        <v>43891</v>
      </c>
      <c r="B26" s="36">
        <f t="shared" si="4"/>
        <v>240341.75</v>
      </c>
      <c r="C26" s="42">
        <v>25</v>
      </c>
      <c r="D26" s="43" t="s">
        <v>38</v>
      </c>
      <c r="E26" s="40">
        <v>0.03</v>
      </c>
      <c r="F26" s="36">
        <f t="shared" si="5"/>
        <v>7210.25</v>
      </c>
      <c r="G26" s="30">
        <f>7552+10000*24</f>
        <v>247552</v>
      </c>
      <c r="H26" s="44">
        <v>43852</v>
      </c>
      <c r="I26" s="29">
        <v>527552</v>
      </c>
      <c r="J26" s="59" t="s">
        <v>21</v>
      </c>
      <c r="K26" s="64" t="s">
        <v>43</v>
      </c>
      <c r="L26" s="61" t="s">
        <v>44</v>
      </c>
      <c r="M26" s="62"/>
      <c r="N26" s="62"/>
      <c r="O26" s="61"/>
    </row>
    <row r="27" s="2" customFormat="1" ht="18" customHeight="1" spans="1:15">
      <c r="A27" s="41"/>
      <c r="B27" s="36">
        <f t="shared" si="4"/>
        <v>0</v>
      </c>
      <c r="C27" s="42"/>
      <c r="D27" s="43"/>
      <c r="E27" s="40"/>
      <c r="F27" s="36">
        <f t="shared" si="5"/>
        <v>0</v>
      </c>
      <c r="G27" s="30"/>
      <c r="H27" s="44">
        <v>43900</v>
      </c>
      <c r="I27" s="29">
        <v>823772</v>
      </c>
      <c r="J27" s="59" t="s">
        <v>21</v>
      </c>
      <c r="K27" s="60" t="s">
        <v>53</v>
      </c>
      <c r="L27" s="61" t="s">
        <v>54</v>
      </c>
      <c r="M27" s="62" t="s">
        <v>41</v>
      </c>
      <c r="N27" s="62"/>
      <c r="O27" s="61"/>
    </row>
    <row r="28" s="2" customFormat="1" ht="18" customHeight="1" spans="1:15">
      <c r="A28" s="41"/>
      <c r="B28" s="36">
        <f t="shared" si="4"/>
        <v>0</v>
      </c>
      <c r="C28" s="42"/>
      <c r="D28" s="43"/>
      <c r="E28" s="40"/>
      <c r="F28" s="36">
        <f t="shared" si="5"/>
        <v>0</v>
      </c>
      <c r="G28" s="30"/>
      <c r="H28" s="44">
        <v>43972</v>
      </c>
      <c r="I28" s="29">
        <v>901394</v>
      </c>
      <c r="J28" s="59" t="s">
        <v>21</v>
      </c>
      <c r="K28" s="60" t="s">
        <v>53</v>
      </c>
      <c r="L28" s="61" t="s">
        <v>54</v>
      </c>
      <c r="M28" s="62" t="s">
        <v>41</v>
      </c>
      <c r="N28" s="62"/>
      <c r="O28" s="61"/>
    </row>
    <row r="29" s="2" customFormat="1" ht="18" customHeight="1" spans="1:15">
      <c r="A29" s="41"/>
      <c r="B29" s="36">
        <f t="shared" si="4"/>
        <v>0</v>
      </c>
      <c r="C29" s="42"/>
      <c r="D29" s="43"/>
      <c r="E29" s="40"/>
      <c r="F29" s="36">
        <f t="shared" si="5"/>
        <v>0</v>
      </c>
      <c r="G29" s="30"/>
      <c r="H29" s="44"/>
      <c r="I29" s="29"/>
      <c r="J29" s="59" t="s">
        <v>21</v>
      </c>
      <c r="K29" s="60" t="s">
        <v>39</v>
      </c>
      <c r="L29" s="61" t="s">
        <v>55</v>
      </c>
      <c r="M29" s="62"/>
      <c r="N29" s="62"/>
      <c r="O29" s="61"/>
    </row>
    <row r="30" s="2" customFormat="1" ht="18" customHeight="1" spans="1:15">
      <c r="A30" s="41">
        <v>43972</v>
      </c>
      <c r="B30" s="36">
        <f t="shared" si="4"/>
        <v>900000</v>
      </c>
      <c r="C30" s="42"/>
      <c r="D30" s="43" t="s">
        <v>37</v>
      </c>
      <c r="E30" s="40"/>
      <c r="F30" s="36">
        <f t="shared" si="5"/>
        <v>0</v>
      </c>
      <c r="G30" s="30">
        <v>900000</v>
      </c>
      <c r="H30" s="44"/>
      <c r="I30" s="29"/>
      <c r="J30" s="59"/>
      <c r="K30" s="60" t="s">
        <v>53</v>
      </c>
      <c r="L30" s="61" t="s">
        <v>54</v>
      </c>
      <c r="M30" s="62"/>
      <c r="N30" s="62"/>
      <c r="O30" s="61"/>
    </row>
    <row r="31" s="2" customFormat="1" ht="18" customHeight="1" spans="1:15">
      <c r="A31" s="41" t="s">
        <v>117</v>
      </c>
      <c r="B31" s="36">
        <f t="shared" si="4"/>
        <v>198320</v>
      </c>
      <c r="C31" s="42">
        <v>4</v>
      </c>
      <c r="D31" s="43" t="s">
        <v>56</v>
      </c>
      <c r="E31" s="40"/>
      <c r="F31" s="36">
        <f t="shared" si="5"/>
        <v>0</v>
      </c>
      <c r="G31" s="30">
        <v>198320</v>
      </c>
      <c r="H31" s="44">
        <v>43984</v>
      </c>
      <c r="I31" s="29">
        <v>198320</v>
      </c>
      <c r="J31" s="59" t="s">
        <v>57</v>
      </c>
      <c r="K31" s="60" t="s">
        <v>58</v>
      </c>
      <c r="L31" s="61" t="s">
        <v>110</v>
      </c>
      <c r="M31" s="62"/>
      <c r="N31" s="63" t="s">
        <v>114</v>
      </c>
      <c r="O31" s="61"/>
    </row>
    <row r="32" s="1" customFormat="1" ht="18" customHeight="1" spans="1:15">
      <c r="A32" s="35" t="s">
        <v>118</v>
      </c>
      <c r="B32" s="21">
        <f t="shared" si="4"/>
        <v>199640</v>
      </c>
      <c r="C32" s="39">
        <v>4</v>
      </c>
      <c r="D32" s="37" t="s">
        <v>108</v>
      </c>
      <c r="E32" s="38"/>
      <c r="F32" s="36">
        <f t="shared" si="5"/>
        <v>0</v>
      </c>
      <c r="G32" s="30">
        <f>49910*4</f>
        <v>199640</v>
      </c>
      <c r="H32" s="45"/>
      <c r="I32" s="65"/>
      <c r="J32" s="66"/>
      <c r="K32" s="67" t="s">
        <v>109</v>
      </c>
      <c r="L32" s="68" t="s">
        <v>110</v>
      </c>
      <c r="M32" s="56" t="s">
        <v>41</v>
      </c>
      <c r="N32" s="56" t="s">
        <v>41</v>
      </c>
      <c r="O32" s="55"/>
    </row>
    <row r="33" s="1" customFormat="1" ht="18" customHeight="1" spans="1:15">
      <c r="A33" s="35"/>
      <c r="B33" s="21">
        <f t="shared" si="4"/>
        <v>0</v>
      </c>
      <c r="C33" s="39"/>
      <c r="D33" s="37"/>
      <c r="E33" s="38"/>
      <c r="F33" s="36">
        <f t="shared" si="5"/>
        <v>0</v>
      </c>
      <c r="G33" s="30"/>
      <c r="H33" s="45">
        <v>44020</v>
      </c>
      <c r="I33" s="65">
        <v>49910</v>
      </c>
      <c r="J33" s="66" t="s">
        <v>57</v>
      </c>
      <c r="K33" s="67" t="s">
        <v>111</v>
      </c>
      <c r="L33" s="68"/>
      <c r="M33" s="56"/>
      <c r="N33" s="69"/>
      <c r="O33" s="55"/>
    </row>
    <row r="34" s="1" customFormat="1" ht="18" customHeight="1" spans="1:15">
      <c r="A34" s="35"/>
      <c r="B34" s="21">
        <f t="shared" si="4"/>
        <v>0</v>
      </c>
      <c r="C34" s="39"/>
      <c r="D34" s="37"/>
      <c r="E34" s="38"/>
      <c r="F34" s="36">
        <f t="shared" si="5"/>
        <v>0</v>
      </c>
      <c r="G34" s="30"/>
      <c r="H34" s="45">
        <v>44020</v>
      </c>
      <c r="I34" s="65">
        <v>49910</v>
      </c>
      <c r="J34" s="66" t="s">
        <v>57</v>
      </c>
      <c r="K34" s="67" t="s">
        <v>112</v>
      </c>
      <c r="L34" s="68"/>
      <c r="M34" s="56"/>
      <c r="N34" s="69"/>
      <c r="O34" s="55"/>
    </row>
    <row r="35" s="1" customFormat="1" ht="18" customHeight="1" spans="5:15">
      <c r="E35" s="38"/>
      <c r="F35" s="36">
        <f t="shared" si="5"/>
        <v>0</v>
      </c>
      <c r="G35" s="30"/>
      <c r="H35" s="44">
        <v>44050</v>
      </c>
      <c r="I35" s="29">
        <v>49910</v>
      </c>
      <c r="J35" s="59" t="s">
        <v>57</v>
      </c>
      <c r="K35" s="60" t="s">
        <v>115</v>
      </c>
      <c r="L35" s="68"/>
      <c r="M35" s="56"/>
      <c r="N35" s="69"/>
      <c r="O35" s="55"/>
    </row>
    <row r="36" s="1" customFormat="1" ht="18" customHeight="1" spans="1:15">
      <c r="A36" s="41" t="s">
        <v>119</v>
      </c>
      <c r="B36" s="36">
        <f>ROUND(G36/(1+E36),2)</f>
        <v>199640</v>
      </c>
      <c r="C36" s="42">
        <v>4</v>
      </c>
      <c r="D36" s="43" t="s">
        <v>108</v>
      </c>
      <c r="E36" s="38"/>
      <c r="F36" s="36">
        <f t="shared" si="5"/>
        <v>0</v>
      </c>
      <c r="G36" s="30">
        <v>199640</v>
      </c>
      <c r="H36" s="44"/>
      <c r="I36" s="29"/>
      <c r="J36" s="59"/>
      <c r="K36" s="60" t="s">
        <v>109</v>
      </c>
      <c r="L36" s="68" t="s">
        <v>120</v>
      </c>
      <c r="M36" s="56"/>
      <c r="N36" s="56" t="s">
        <v>114</v>
      </c>
      <c r="O36" s="55"/>
    </row>
    <row r="37" s="1" customFormat="1" ht="18" customHeight="1" spans="1:15">
      <c r="A37" s="41" t="s">
        <v>121</v>
      </c>
      <c r="B37" s="36">
        <f>ROUND(G37/(1+E37),2)</f>
        <v>199640</v>
      </c>
      <c r="C37" s="42">
        <v>4</v>
      </c>
      <c r="D37" s="43" t="s">
        <v>108</v>
      </c>
      <c r="E37" s="38"/>
      <c r="F37" s="36">
        <f t="shared" si="5"/>
        <v>0</v>
      </c>
      <c r="G37" s="30">
        <v>199640</v>
      </c>
      <c r="H37" s="44"/>
      <c r="I37" s="29"/>
      <c r="J37" s="59"/>
      <c r="K37" s="60" t="s">
        <v>109</v>
      </c>
      <c r="L37" s="68" t="s">
        <v>120</v>
      </c>
      <c r="M37" s="56"/>
      <c r="N37" s="56" t="s">
        <v>114</v>
      </c>
      <c r="O37" s="55"/>
    </row>
    <row r="38" s="1" customFormat="1" ht="18" customHeight="1" spans="1:15">
      <c r="A38" s="41" t="s">
        <v>122</v>
      </c>
      <c r="B38" s="36">
        <v>199640</v>
      </c>
      <c r="C38" s="42">
        <v>4</v>
      </c>
      <c r="D38" s="43" t="s">
        <v>108</v>
      </c>
      <c r="E38" s="38"/>
      <c r="F38" s="36">
        <f t="shared" si="5"/>
        <v>0</v>
      </c>
      <c r="G38" s="30">
        <v>199640</v>
      </c>
      <c r="H38" s="44"/>
      <c r="I38" s="29"/>
      <c r="J38" s="59"/>
      <c r="K38" s="60" t="s">
        <v>109</v>
      </c>
      <c r="L38" s="68" t="s">
        <v>120</v>
      </c>
      <c r="M38" s="56"/>
      <c r="N38" s="56" t="s">
        <v>114</v>
      </c>
      <c r="O38" s="55"/>
    </row>
    <row r="39" s="1" customFormat="1" ht="18" customHeight="1" spans="1:15">
      <c r="A39" s="35"/>
      <c r="B39" s="21"/>
      <c r="C39" s="39"/>
      <c r="D39" s="37"/>
      <c r="E39" s="38"/>
      <c r="F39" s="36"/>
      <c r="G39" s="30"/>
      <c r="H39" s="44">
        <v>44123</v>
      </c>
      <c r="I39" s="29">
        <v>149730</v>
      </c>
      <c r="J39" s="59"/>
      <c r="K39" s="60" t="s">
        <v>111</v>
      </c>
      <c r="L39" s="61"/>
      <c r="M39" s="62"/>
      <c r="N39" s="56"/>
      <c r="O39" s="55"/>
    </row>
    <row r="40" s="1" customFormat="1" ht="18" customHeight="1" spans="1:15">
      <c r="A40" s="35"/>
      <c r="B40" s="21"/>
      <c r="C40" s="39"/>
      <c r="D40" s="37"/>
      <c r="E40" s="38"/>
      <c r="F40" s="36"/>
      <c r="G40" s="30"/>
      <c r="H40" s="44">
        <v>44123</v>
      </c>
      <c r="I40" s="29">
        <v>199640</v>
      </c>
      <c r="J40" s="59"/>
      <c r="K40" s="60" t="s">
        <v>125</v>
      </c>
      <c r="L40" s="61"/>
      <c r="M40" s="62"/>
      <c r="N40" s="56"/>
      <c r="O40" s="55"/>
    </row>
    <row r="41" s="1" customFormat="1" ht="18" customHeight="1" spans="1:15">
      <c r="A41" s="35"/>
      <c r="B41" s="21"/>
      <c r="C41" s="39"/>
      <c r="D41" s="37"/>
      <c r="E41" s="38"/>
      <c r="F41" s="36"/>
      <c r="G41" s="30"/>
      <c r="H41" s="44">
        <v>44123</v>
      </c>
      <c r="I41" s="29">
        <v>149730</v>
      </c>
      <c r="J41" s="59"/>
      <c r="K41" s="60" t="s">
        <v>115</v>
      </c>
      <c r="L41" s="61"/>
      <c r="M41" s="62"/>
      <c r="N41" s="56"/>
      <c r="O41" s="55"/>
    </row>
    <row r="42" s="1" customFormat="1" ht="18" customHeight="1" spans="1:15">
      <c r="A42" s="35"/>
      <c r="B42" s="21"/>
      <c r="C42" s="39"/>
      <c r="D42" s="37"/>
      <c r="E42" s="38"/>
      <c r="F42" s="36"/>
      <c r="G42" s="30"/>
      <c r="H42" s="44">
        <v>44123</v>
      </c>
      <c r="I42" s="29">
        <v>149730</v>
      </c>
      <c r="J42" s="59"/>
      <c r="K42" s="60" t="s">
        <v>112</v>
      </c>
      <c r="L42" s="61"/>
      <c r="M42" s="62"/>
      <c r="N42" s="56"/>
      <c r="O42" s="55"/>
    </row>
    <row r="43" s="1" customFormat="1" ht="18" customHeight="1" spans="1:15">
      <c r="A43" s="35" t="s">
        <v>126</v>
      </c>
      <c r="B43" s="21">
        <f>G43</f>
        <v>400000</v>
      </c>
      <c r="C43" s="39"/>
      <c r="D43" s="37" t="s">
        <v>37</v>
      </c>
      <c r="E43" s="38"/>
      <c r="F43" s="36"/>
      <c r="G43" s="30">
        <v>400000</v>
      </c>
      <c r="H43" s="44">
        <v>44123</v>
      </c>
      <c r="I43" s="29">
        <v>400000</v>
      </c>
      <c r="J43" s="59"/>
      <c r="K43" s="60" t="s">
        <v>53</v>
      </c>
      <c r="L43" s="61" t="s">
        <v>54</v>
      </c>
      <c r="M43" s="62"/>
      <c r="N43" s="56"/>
      <c r="O43" s="55"/>
    </row>
    <row r="44" s="1" customFormat="1" ht="18" customHeight="1" spans="1:15">
      <c r="A44" s="35"/>
      <c r="B44" s="21">
        <f>G44</f>
        <v>0</v>
      </c>
      <c r="C44" s="39"/>
      <c r="D44" s="37"/>
      <c r="E44" s="38"/>
      <c r="F44" s="36"/>
      <c r="G44" s="30"/>
      <c r="H44" s="44">
        <v>44123</v>
      </c>
      <c r="I44" s="29">
        <v>200000</v>
      </c>
      <c r="J44" s="59"/>
      <c r="K44" s="60" t="s">
        <v>39</v>
      </c>
      <c r="L44" s="61" t="s">
        <v>55</v>
      </c>
      <c r="M44" s="62"/>
      <c r="N44" s="56"/>
      <c r="O44" s="55"/>
    </row>
    <row r="45" s="1" customFormat="1" ht="18" customHeight="1" spans="1:15">
      <c r="A45" s="35" t="s">
        <v>132</v>
      </c>
      <c r="B45" s="21">
        <f>G45</f>
        <v>149730</v>
      </c>
      <c r="C45" s="39">
        <v>3</v>
      </c>
      <c r="D45" s="37" t="s">
        <v>37</v>
      </c>
      <c r="E45" s="38"/>
      <c r="F45" s="36"/>
      <c r="G45" s="30">
        <v>149730</v>
      </c>
      <c r="H45" s="44"/>
      <c r="I45" s="29"/>
      <c r="J45" s="59"/>
      <c r="K45" s="60" t="s">
        <v>133</v>
      </c>
      <c r="L45" s="61" t="s">
        <v>134</v>
      </c>
      <c r="M45" s="62"/>
      <c r="N45" s="56"/>
      <c r="O45" s="55"/>
    </row>
    <row r="46" s="1" customFormat="1" ht="18" customHeight="1" spans="1:15">
      <c r="A46" s="35" t="s">
        <v>135</v>
      </c>
      <c r="B46" s="21">
        <f>G46</f>
        <v>362880</v>
      </c>
      <c r="C46" s="39">
        <v>1</v>
      </c>
      <c r="D46" s="37" t="s">
        <v>37</v>
      </c>
      <c r="E46" s="38"/>
      <c r="F46" s="36"/>
      <c r="G46" s="30">
        <v>362880</v>
      </c>
      <c r="H46" s="44">
        <v>44140</v>
      </c>
      <c r="I46" s="29">
        <v>362880</v>
      </c>
      <c r="J46" s="59" t="s">
        <v>22</v>
      </c>
      <c r="K46" s="60" t="s">
        <v>53</v>
      </c>
      <c r="L46" s="60" t="s">
        <v>136</v>
      </c>
      <c r="M46" s="62"/>
      <c r="N46" s="56"/>
      <c r="O46" s="55"/>
    </row>
    <row r="47" s="1" customFormat="1" ht="18" customHeight="1" spans="1:15">
      <c r="A47" s="35"/>
      <c r="B47" s="21"/>
      <c r="C47" s="39"/>
      <c r="D47" s="37"/>
      <c r="E47" s="38"/>
      <c r="F47" s="36"/>
      <c r="G47" s="30"/>
      <c r="H47" s="46">
        <v>44146</v>
      </c>
      <c r="I47" s="70">
        <v>49910</v>
      </c>
      <c r="J47" s="71" t="s">
        <v>21</v>
      </c>
      <c r="K47" s="72" t="s">
        <v>111</v>
      </c>
      <c r="L47" s="61"/>
      <c r="M47" s="62"/>
      <c r="N47" s="56"/>
      <c r="O47" s="55"/>
    </row>
    <row r="48" s="1" customFormat="1" ht="18" customHeight="1" spans="1:15">
      <c r="A48" s="35"/>
      <c r="B48" s="21"/>
      <c r="C48" s="39"/>
      <c r="D48" s="37"/>
      <c r="E48" s="38"/>
      <c r="F48" s="36"/>
      <c r="G48" s="30"/>
      <c r="H48" s="46">
        <v>44146</v>
      </c>
      <c r="I48" s="70">
        <v>49910</v>
      </c>
      <c r="J48" s="71" t="s">
        <v>21</v>
      </c>
      <c r="K48" s="72" t="s">
        <v>115</v>
      </c>
      <c r="L48" s="61"/>
      <c r="M48" s="62"/>
      <c r="N48" s="56"/>
      <c r="O48" s="55"/>
    </row>
    <row r="49" s="1" customFormat="1" ht="18" customHeight="1" spans="1:15">
      <c r="A49" s="35"/>
      <c r="B49" s="21"/>
      <c r="C49" s="39"/>
      <c r="D49" s="37"/>
      <c r="E49" s="38"/>
      <c r="F49" s="36"/>
      <c r="G49" s="30"/>
      <c r="H49" s="46">
        <v>44146</v>
      </c>
      <c r="I49" s="70">
        <v>49910</v>
      </c>
      <c r="J49" s="71" t="s">
        <v>21</v>
      </c>
      <c r="K49" s="72" t="s">
        <v>112</v>
      </c>
      <c r="L49" s="61"/>
      <c r="M49" s="62"/>
      <c r="N49" s="56"/>
      <c r="O49" s="55"/>
    </row>
    <row r="50" s="1" customFormat="1" ht="18" customHeight="1" spans="1:15">
      <c r="A50" s="35"/>
      <c r="B50" s="21"/>
      <c r="C50" s="39"/>
      <c r="D50" s="37"/>
      <c r="E50" s="38"/>
      <c r="F50" s="36"/>
      <c r="G50" s="30"/>
      <c r="H50" s="44"/>
      <c r="I50" s="29"/>
      <c r="J50" s="59"/>
      <c r="K50" s="60"/>
      <c r="L50" s="61"/>
      <c r="M50" s="62"/>
      <c r="N50" s="56"/>
      <c r="O50" s="55"/>
    </row>
    <row r="51" s="1" customFormat="1" ht="18" customHeight="1" spans="1:15">
      <c r="A51" s="35"/>
      <c r="B51" s="21"/>
      <c r="C51" s="39"/>
      <c r="D51" s="37"/>
      <c r="E51" s="38"/>
      <c r="F51" s="36"/>
      <c r="G51" s="30"/>
      <c r="H51" s="44"/>
      <c r="I51" s="29"/>
      <c r="J51" s="59"/>
      <c r="K51" s="60"/>
      <c r="L51" s="61"/>
      <c r="M51" s="62"/>
      <c r="N51" s="56"/>
      <c r="O51" s="55"/>
    </row>
    <row r="52" s="1" customFormat="1" ht="18" customHeight="1" spans="1:15">
      <c r="A52" s="35"/>
      <c r="B52" s="21"/>
      <c r="C52" s="39"/>
      <c r="D52" s="37"/>
      <c r="E52" s="38"/>
      <c r="F52" s="36"/>
      <c r="G52" s="30"/>
      <c r="H52" s="44"/>
      <c r="I52" s="29"/>
      <c r="J52" s="59"/>
      <c r="K52" s="60"/>
      <c r="L52" s="61"/>
      <c r="M52" s="62"/>
      <c r="N52" s="56"/>
      <c r="O52" s="55"/>
    </row>
    <row r="53" s="1" customFormat="1" ht="18" customHeight="1" spans="1:15">
      <c r="A53" s="35"/>
      <c r="B53" s="21"/>
      <c r="C53" s="39"/>
      <c r="D53" s="37"/>
      <c r="E53" s="38"/>
      <c r="F53" s="36"/>
      <c r="G53" s="30"/>
      <c r="H53" s="44"/>
      <c r="I53" s="29"/>
      <c r="J53" s="59"/>
      <c r="K53" s="60"/>
      <c r="L53" s="61"/>
      <c r="M53" s="62"/>
      <c r="N53" s="56"/>
      <c r="O53" s="55"/>
    </row>
    <row r="54" s="1" customFormat="1" ht="18" customHeight="1" spans="1:15">
      <c r="A54" s="35"/>
      <c r="B54" s="21"/>
      <c r="C54" s="39"/>
      <c r="D54" s="37"/>
      <c r="E54" s="38"/>
      <c r="F54" s="36"/>
      <c r="G54" s="30"/>
      <c r="H54" s="46">
        <v>44146</v>
      </c>
      <c r="I54" s="70">
        <v>300</v>
      </c>
      <c r="J54" s="101" t="s">
        <v>59</v>
      </c>
      <c r="K54" s="72" t="s">
        <v>60</v>
      </c>
      <c r="L54" s="61"/>
      <c r="M54" s="62"/>
      <c r="N54" s="56"/>
      <c r="O54" s="55"/>
    </row>
    <row r="55" s="1" customFormat="1" ht="18" customHeight="1" spans="1:15">
      <c r="A55" s="35"/>
      <c r="B55" s="21"/>
      <c r="C55" s="39"/>
      <c r="D55" s="37"/>
      <c r="E55" s="38"/>
      <c r="F55" s="36"/>
      <c r="G55" s="30"/>
      <c r="H55" s="46">
        <v>44146</v>
      </c>
      <c r="I55" s="70">
        <v>2544</v>
      </c>
      <c r="J55" s="101" t="s">
        <v>59</v>
      </c>
      <c r="K55" s="72" t="s">
        <v>137</v>
      </c>
      <c r="L55" s="61"/>
      <c r="M55" s="62"/>
      <c r="N55" s="56"/>
      <c r="O55" s="55"/>
    </row>
    <row r="56" s="1" customFormat="1" ht="18" customHeight="1" spans="1:15">
      <c r="A56" s="35"/>
      <c r="B56" s="21"/>
      <c r="C56" s="39"/>
      <c r="D56" s="37"/>
      <c r="E56" s="38"/>
      <c r="F56" s="36"/>
      <c r="G56" s="30"/>
      <c r="H56" s="44">
        <v>44140</v>
      </c>
      <c r="I56" s="29">
        <v>100</v>
      </c>
      <c r="J56" s="62" t="s">
        <v>59</v>
      </c>
      <c r="K56" s="60" t="s">
        <v>60</v>
      </c>
      <c r="L56" s="61"/>
      <c r="M56" s="62"/>
      <c r="N56" s="56"/>
      <c r="O56" s="55"/>
    </row>
    <row r="57" s="1" customFormat="1" ht="18" customHeight="1" spans="1:15">
      <c r="A57" s="35"/>
      <c r="B57" s="21"/>
      <c r="C57" s="39"/>
      <c r="D57" s="37"/>
      <c r="E57" s="38"/>
      <c r="F57" s="36"/>
      <c r="G57" s="30"/>
      <c r="H57" s="44" t="s">
        <v>127</v>
      </c>
      <c r="I57" s="36">
        <v>600</v>
      </c>
      <c r="J57" s="62" t="s">
        <v>59</v>
      </c>
      <c r="K57" s="60" t="s">
        <v>60</v>
      </c>
      <c r="L57" s="61"/>
      <c r="M57" s="62"/>
      <c r="N57" s="56"/>
      <c r="O57" s="55"/>
    </row>
    <row r="58" s="1" customFormat="1" ht="18" customHeight="1" spans="1:15">
      <c r="A58" s="35"/>
      <c r="B58" s="21"/>
      <c r="C58" s="39"/>
      <c r="D58" s="37"/>
      <c r="E58" s="38"/>
      <c r="F58" s="36"/>
      <c r="G58" s="30"/>
      <c r="H58" s="44" t="s">
        <v>127</v>
      </c>
      <c r="I58" s="102">
        <v>7500</v>
      </c>
      <c r="J58" s="62" t="s">
        <v>59</v>
      </c>
      <c r="K58" s="103" t="s">
        <v>128</v>
      </c>
      <c r="L58" s="61"/>
      <c r="M58" s="62"/>
      <c r="N58" s="56"/>
      <c r="O58" s="55"/>
    </row>
    <row r="59" s="1" customFormat="1" ht="18" customHeight="1" spans="1:15">
      <c r="A59" s="35"/>
      <c r="B59" s="21"/>
      <c r="C59" s="39"/>
      <c r="D59" s="37"/>
      <c r="E59" s="38"/>
      <c r="F59" s="36"/>
      <c r="G59" s="30"/>
      <c r="H59" s="44" t="s">
        <v>127</v>
      </c>
      <c r="I59" s="29">
        <v>36346</v>
      </c>
      <c r="J59" s="59" t="s">
        <v>59</v>
      </c>
      <c r="K59" s="60" t="s">
        <v>129</v>
      </c>
      <c r="L59" s="61"/>
      <c r="M59" s="62"/>
      <c r="N59" s="56"/>
      <c r="O59" s="55"/>
    </row>
    <row r="60" s="1" customFormat="1" ht="18" customHeight="1" spans="1:15">
      <c r="A60" s="35"/>
      <c r="B60" s="21">
        <f t="shared" ref="B60:B89" si="6">ROUND(G60/(1+E60),2)</f>
        <v>0</v>
      </c>
      <c r="C60" s="39"/>
      <c r="D60" s="37"/>
      <c r="E60" s="38"/>
      <c r="F60" s="36">
        <f t="shared" ref="F60:F89" si="7">ROUND(G60/(1+E60)*E60,2)</f>
        <v>0</v>
      </c>
      <c r="G60" s="30"/>
      <c r="H60" s="44" t="s">
        <v>127</v>
      </c>
      <c r="I60" s="29">
        <v>1000</v>
      </c>
      <c r="J60" s="59" t="s">
        <v>59</v>
      </c>
      <c r="K60" s="60" t="s">
        <v>130</v>
      </c>
      <c r="L60" s="61"/>
      <c r="M60" s="62"/>
      <c r="N60" s="56"/>
      <c r="O60" s="55"/>
    </row>
    <row r="61" s="1" customFormat="1" ht="18" customHeight="1" spans="1:15">
      <c r="A61" s="35"/>
      <c r="B61" s="21">
        <f t="shared" si="6"/>
        <v>0</v>
      </c>
      <c r="C61" s="39"/>
      <c r="D61" s="37"/>
      <c r="E61" s="38"/>
      <c r="F61" s="36">
        <f t="shared" si="7"/>
        <v>0</v>
      </c>
      <c r="G61" s="30"/>
      <c r="H61" s="44" t="s">
        <v>116</v>
      </c>
      <c r="I61" s="29">
        <v>50</v>
      </c>
      <c r="J61" s="59" t="s">
        <v>59</v>
      </c>
      <c r="K61" s="60" t="s">
        <v>60</v>
      </c>
      <c r="L61" s="61"/>
      <c r="M61" s="62"/>
      <c r="N61" s="56"/>
      <c r="O61" s="55"/>
    </row>
    <row r="62" s="1" customFormat="1" ht="18" customHeight="1" spans="1:15">
      <c r="A62" s="35"/>
      <c r="B62" s="21">
        <f t="shared" si="6"/>
        <v>0</v>
      </c>
      <c r="C62" s="39"/>
      <c r="D62" s="37"/>
      <c r="E62" s="38"/>
      <c r="F62" s="36">
        <f t="shared" si="7"/>
        <v>0</v>
      </c>
      <c r="G62" s="30"/>
      <c r="H62" s="44" t="s">
        <v>113</v>
      </c>
      <c r="I62" s="29">
        <v>100</v>
      </c>
      <c r="J62" s="59" t="s">
        <v>59</v>
      </c>
      <c r="K62" s="60" t="s">
        <v>60</v>
      </c>
      <c r="L62" s="61"/>
      <c r="M62" s="62"/>
      <c r="N62" s="56"/>
      <c r="O62" s="55"/>
    </row>
    <row r="63" s="1" customFormat="1" ht="18" customHeight="1" spans="1:15">
      <c r="A63" s="35"/>
      <c r="B63" s="21">
        <f t="shared" si="6"/>
        <v>0</v>
      </c>
      <c r="C63" s="39"/>
      <c r="D63" s="37"/>
      <c r="E63" s="38"/>
      <c r="F63" s="36">
        <f t="shared" si="7"/>
        <v>0</v>
      </c>
      <c r="G63" s="30"/>
      <c r="H63" s="44">
        <v>43984</v>
      </c>
      <c r="I63" s="29">
        <v>200</v>
      </c>
      <c r="J63" s="59" t="s">
        <v>59</v>
      </c>
      <c r="K63" s="60" t="s">
        <v>60</v>
      </c>
      <c r="L63" s="61"/>
      <c r="M63" s="62"/>
      <c r="N63" s="56"/>
      <c r="O63" s="55"/>
    </row>
    <row r="64" s="1" customFormat="1" ht="18" customHeight="1" spans="1:15">
      <c r="A64" s="35"/>
      <c r="B64" s="21">
        <f t="shared" si="6"/>
        <v>0</v>
      </c>
      <c r="C64" s="39"/>
      <c r="D64" s="37"/>
      <c r="E64" s="38"/>
      <c r="F64" s="36">
        <f t="shared" si="7"/>
        <v>0</v>
      </c>
      <c r="G64" s="30"/>
      <c r="H64" s="44">
        <v>43984</v>
      </c>
      <c r="I64" s="29">
        <f>-(I75+I72+I68)</f>
        <v>-178666.95</v>
      </c>
      <c r="J64" s="59" t="s">
        <v>61</v>
      </c>
      <c r="K64" s="64" t="s">
        <v>62</v>
      </c>
      <c r="L64" s="55"/>
      <c r="M64" s="56"/>
      <c r="N64" s="56"/>
      <c r="O64" s="55"/>
    </row>
    <row r="65" s="1" customFormat="1" ht="18" customHeight="1" spans="1:15">
      <c r="A65" s="35"/>
      <c r="B65" s="21">
        <f t="shared" si="6"/>
        <v>0</v>
      </c>
      <c r="C65" s="39"/>
      <c r="D65" s="37"/>
      <c r="E65" s="38"/>
      <c r="F65" s="36">
        <f t="shared" si="7"/>
        <v>0</v>
      </c>
      <c r="G65" s="30"/>
      <c r="H65" s="44">
        <v>43984</v>
      </c>
      <c r="I65" s="29">
        <v>22048</v>
      </c>
      <c r="J65" s="59" t="s">
        <v>59</v>
      </c>
      <c r="K65" s="64" t="s">
        <v>63</v>
      </c>
      <c r="L65" s="55"/>
      <c r="M65" s="56"/>
      <c r="N65" s="56"/>
      <c r="O65" s="55"/>
    </row>
    <row r="66" s="1" customFormat="1" ht="18" customHeight="1" spans="1:15">
      <c r="A66" s="35"/>
      <c r="B66" s="21">
        <f t="shared" si="6"/>
        <v>0</v>
      </c>
      <c r="C66" s="39"/>
      <c r="D66" s="37"/>
      <c r="E66" s="38"/>
      <c r="F66" s="36">
        <f t="shared" si="7"/>
        <v>0</v>
      </c>
      <c r="G66" s="30"/>
      <c r="H66" s="26">
        <v>43972</v>
      </c>
      <c r="I66" s="27">
        <v>100</v>
      </c>
      <c r="J66" s="51" t="s">
        <v>59</v>
      </c>
      <c r="K66" s="54" t="s">
        <v>60</v>
      </c>
      <c r="L66" s="55"/>
      <c r="M66" s="56"/>
      <c r="N66" s="56"/>
      <c r="O66" s="55"/>
    </row>
    <row r="67" s="1" customFormat="1" ht="18" customHeight="1" spans="1:15">
      <c r="A67" s="35"/>
      <c r="B67" s="21">
        <f t="shared" si="6"/>
        <v>0</v>
      </c>
      <c r="C67" s="39"/>
      <c r="D67" s="37"/>
      <c r="E67" s="38"/>
      <c r="F67" s="36">
        <f t="shared" si="7"/>
        <v>0</v>
      </c>
      <c r="G67" s="30"/>
      <c r="H67" s="26">
        <v>43972</v>
      </c>
      <c r="I67" s="27">
        <v>9000</v>
      </c>
      <c r="J67" s="51" t="s">
        <v>59</v>
      </c>
      <c r="K67" s="54" t="s">
        <v>64</v>
      </c>
      <c r="L67" s="55"/>
      <c r="M67" s="56"/>
      <c r="N67" s="56"/>
      <c r="O67" s="55"/>
    </row>
    <row r="68" s="1" customFormat="1" ht="18" customHeight="1" spans="1:15">
      <c r="A68" s="35"/>
      <c r="B68" s="21">
        <f t="shared" si="6"/>
        <v>0</v>
      </c>
      <c r="C68" s="39"/>
      <c r="D68" s="37"/>
      <c r="E68" s="38"/>
      <c r="F68" s="36">
        <f t="shared" si="7"/>
        <v>0</v>
      </c>
      <c r="G68" s="30"/>
      <c r="H68" s="26">
        <v>43972</v>
      </c>
      <c r="I68" s="27">
        <v>156769.95</v>
      </c>
      <c r="J68" s="51" t="s">
        <v>65</v>
      </c>
      <c r="K68" s="54" t="s">
        <v>66</v>
      </c>
      <c r="L68" s="55"/>
      <c r="M68" s="56"/>
      <c r="N68" s="56"/>
      <c r="O68" s="55"/>
    </row>
    <row r="69" s="1" customFormat="1" ht="18" customHeight="1" spans="1:15">
      <c r="A69" s="35"/>
      <c r="B69" s="21">
        <f t="shared" si="6"/>
        <v>0</v>
      </c>
      <c r="C69" s="39"/>
      <c r="D69" s="37"/>
      <c r="E69" s="38"/>
      <c r="F69" s="36">
        <f t="shared" si="7"/>
        <v>0</v>
      </c>
      <c r="G69" s="30"/>
      <c r="H69" s="26">
        <v>43972</v>
      </c>
      <c r="I69" s="27">
        <f>K100</f>
        <v>665.513647706422</v>
      </c>
      <c r="J69" s="51" t="s">
        <v>59</v>
      </c>
      <c r="K69" s="54" t="s">
        <v>67</v>
      </c>
      <c r="L69" s="55"/>
      <c r="M69" s="56"/>
      <c r="N69" s="56"/>
      <c r="O69" s="55"/>
    </row>
    <row r="70" s="1" customFormat="1" ht="18" customHeight="1" spans="1:15">
      <c r="A70" s="35"/>
      <c r="B70" s="21">
        <f t="shared" si="6"/>
        <v>0</v>
      </c>
      <c r="C70" s="39"/>
      <c r="D70" s="37"/>
      <c r="E70" s="38"/>
      <c r="F70" s="36">
        <f t="shared" si="7"/>
        <v>0</v>
      </c>
      <c r="G70" s="30"/>
      <c r="H70" s="26">
        <v>43972</v>
      </c>
      <c r="I70" s="27">
        <f>B10*0.02</f>
        <v>22183.7882568807</v>
      </c>
      <c r="J70" s="51" t="s">
        <v>59</v>
      </c>
      <c r="K70" s="54" t="s">
        <v>68</v>
      </c>
      <c r="L70" s="55"/>
      <c r="M70" s="56"/>
      <c r="N70" s="56"/>
      <c r="O70" s="55"/>
    </row>
    <row r="71" s="1" customFormat="1" ht="18" customHeight="1" spans="1:15">
      <c r="A71" s="35"/>
      <c r="B71" s="21">
        <f t="shared" si="6"/>
        <v>0</v>
      </c>
      <c r="C71" s="39"/>
      <c r="D71" s="37"/>
      <c r="E71" s="38"/>
      <c r="F71" s="36">
        <f t="shared" si="7"/>
        <v>0</v>
      </c>
      <c r="G71" s="30"/>
      <c r="H71" s="26">
        <v>43900</v>
      </c>
      <c r="I71" s="27">
        <v>100</v>
      </c>
      <c r="J71" s="51" t="s">
        <v>59</v>
      </c>
      <c r="K71" s="54" t="s">
        <v>60</v>
      </c>
      <c r="L71" s="55"/>
      <c r="M71" s="56"/>
      <c r="N71" s="56"/>
      <c r="O71" s="55"/>
    </row>
    <row r="72" s="1" customFormat="1" ht="18" customHeight="1" spans="1:15">
      <c r="A72" s="35"/>
      <c r="B72" s="21">
        <f t="shared" si="6"/>
        <v>0</v>
      </c>
      <c r="C72" s="39"/>
      <c r="D72" s="37"/>
      <c r="E72" s="38"/>
      <c r="F72" s="36">
        <f t="shared" si="7"/>
        <v>0</v>
      </c>
      <c r="G72" s="30"/>
      <c r="H72" s="26">
        <v>43900</v>
      </c>
      <c r="I72" s="27">
        <v>-909920</v>
      </c>
      <c r="J72" s="51" t="s">
        <v>61</v>
      </c>
      <c r="K72" s="58" t="s">
        <v>69</v>
      </c>
      <c r="L72" s="55"/>
      <c r="M72" s="56"/>
      <c r="N72" s="56"/>
      <c r="O72" s="55"/>
    </row>
    <row r="73" s="1" customFormat="1" ht="18" customHeight="1" spans="1:15">
      <c r="A73" s="35"/>
      <c r="B73" s="21">
        <f t="shared" si="6"/>
        <v>0</v>
      </c>
      <c r="C73" s="39"/>
      <c r="D73" s="37"/>
      <c r="E73" s="38"/>
      <c r="F73" s="36">
        <f t="shared" si="7"/>
        <v>0</v>
      </c>
      <c r="G73" s="30"/>
      <c r="H73" s="26" t="s">
        <v>70</v>
      </c>
      <c r="I73" s="27">
        <v>200</v>
      </c>
      <c r="J73" s="51" t="s">
        <v>59</v>
      </c>
      <c r="K73" s="54" t="s">
        <v>60</v>
      </c>
      <c r="L73" s="55"/>
      <c r="M73" s="56"/>
      <c r="N73" s="56"/>
      <c r="O73" s="55"/>
    </row>
    <row r="74" s="1" customFormat="1" ht="18" customHeight="1" spans="1:15">
      <c r="A74" s="35"/>
      <c r="B74" s="21">
        <f t="shared" si="6"/>
        <v>0</v>
      </c>
      <c r="C74" s="39"/>
      <c r="D74" s="37"/>
      <c r="E74" s="74"/>
      <c r="F74" s="36">
        <f t="shared" si="7"/>
        <v>0</v>
      </c>
      <c r="G74" s="30"/>
      <c r="H74" s="26" t="s">
        <v>71</v>
      </c>
      <c r="I74" s="27">
        <v>150</v>
      </c>
      <c r="J74" s="51" t="s">
        <v>59</v>
      </c>
      <c r="K74" s="54" t="s">
        <v>60</v>
      </c>
      <c r="L74" s="55"/>
      <c r="M74" s="56"/>
      <c r="N74" s="56"/>
      <c r="O74" s="55"/>
    </row>
    <row r="75" s="1" customFormat="1" ht="18" customHeight="1" spans="1:15">
      <c r="A75" s="35"/>
      <c r="B75" s="21">
        <f t="shared" si="6"/>
        <v>0</v>
      </c>
      <c r="C75" s="39"/>
      <c r="D75" s="37"/>
      <c r="E75" s="74"/>
      <c r="F75" s="36">
        <f t="shared" si="7"/>
        <v>0</v>
      </c>
      <c r="G75" s="30"/>
      <c r="H75" s="26" t="s">
        <v>71</v>
      </c>
      <c r="I75" s="27">
        <v>931817</v>
      </c>
      <c r="J75" s="51" t="s">
        <v>65</v>
      </c>
      <c r="K75" s="54" t="s">
        <v>72</v>
      </c>
      <c r="L75" s="55"/>
      <c r="M75" s="56">
        <f>I75+I72+I68+I64</f>
        <v>0</v>
      </c>
      <c r="N75" s="56"/>
      <c r="O75" s="55"/>
    </row>
    <row r="76" s="1" customFormat="1" ht="18" customHeight="1" spans="1:15">
      <c r="A76" s="35"/>
      <c r="B76" s="21">
        <f t="shared" si="6"/>
        <v>0</v>
      </c>
      <c r="C76" s="39"/>
      <c r="D76" s="37"/>
      <c r="E76" s="74"/>
      <c r="F76" s="36">
        <f t="shared" si="7"/>
        <v>0</v>
      </c>
      <c r="G76" s="30"/>
      <c r="H76" s="26" t="s">
        <v>71</v>
      </c>
      <c r="I76" s="27">
        <v>91630</v>
      </c>
      <c r="J76" s="51" t="s">
        <v>59</v>
      </c>
      <c r="K76" s="54" t="s">
        <v>73</v>
      </c>
      <c r="L76" s="55"/>
      <c r="M76" s="56"/>
      <c r="N76" s="56"/>
      <c r="O76" s="55"/>
    </row>
    <row r="77" s="1" customFormat="1" ht="18" customHeight="1" spans="1:15">
      <c r="A77" s="35"/>
      <c r="B77" s="21">
        <f t="shared" si="6"/>
        <v>0</v>
      </c>
      <c r="C77" s="39"/>
      <c r="D77" s="37"/>
      <c r="E77" s="74"/>
      <c r="F77" s="36">
        <f t="shared" si="7"/>
        <v>0</v>
      </c>
      <c r="G77" s="30"/>
      <c r="H77" s="26" t="s">
        <v>71</v>
      </c>
      <c r="I77" s="27">
        <v>2522</v>
      </c>
      <c r="J77" s="51" t="s">
        <v>59</v>
      </c>
      <c r="K77" s="54" t="s">
        <v>67</v>
      </c>
      <c r="L77" s="55"/>
      <c r="M77" s="56"/>
      <c r="N77" s="56"/>
      <c r="O77" s="55"/>
    </row>
    <row r="78" s="1" customFormat="1" ht="18" customHeight="1" spans="1:15">
      <c r="A78" s="35"/>
      <c r="B78" s="21">
        <f t="shared" si="6"/>
        <v>0</v>
      </c>
      <c r="C78" s="39"/>
      <c r="D78" s="37"/>
      <c r="E78" s="74"/>
      <c r="F78" s="36">
        <f t="shared" si="7"/>
        <v>0</v>
      </c>
      <c r="G78" s="30"/>
      <c r="H78" s="26" t="s">
        <v>71</v>
      </c>
      <c r="I78" s="27">
        <v>200</v>
      </c>
      <c r="J78" s="51" t="s">
        <v>59</v>
      </c>
      <c r="K78" s="54" t="s">
        <v>60</v>
      </c>
      <c r="L78" s="55"/>
      <c r="M78" s="56"/>
      <c r="N78" s="56"/>
      <c r="O78" s="55"/>
    </row>
    <row r="79" s="1" customFormat="1" ht="18" customHeight="1" spans="1:15">
      <c r="A79" s="35"/>
      <c r="B79" s="21">
        <f t="shared" si="6"/>
        <v>0</v>
      </c>
      <c r="C79" s="39"/>
      <c r="D79" s="37"/>
      <c r="E79" s="74"/>
      <c r="F79" s="36">
        <f t="shared" si="7"/>
        <v>0</v>
      </c>
      <c r="G79" s="30"/>
      <c r="H79" s="26" t="s">
        <v>71</v>
      </c>
      <c r="I79" s="27">
        <v>9000</v>
      </c>
      <c r="J79" s="51" t="s">
        <v>59</v>
      </c>
      <c r="K79" s="54" t="s">
        <v>74</v>
      </c>
      <c r="L79" s="55"/>
      <c r="M79" s="56"/>
      <c r="N79" s="56"/>
      <c r="O79" s="55"/>
    </row>
    <row r="80" s="1" customFormat="1" ht="18" customHeight="1" spans="1:15">
      <c r="A80" s="35"/>
      <c r="B80" s="21">
        <f t="shared" si="6"/>
        <v>290682</v>
      </c>
      <c r="C80" s="39"/>
      <c r="D80" s="37"/>
      <c r="E80" s="74"/>
      <c r="F80" s="36">
        <f t="shared" si="7"/>
        <v>0</v>
      </c>
      <c r="G80" s="30">
        <v>290682</v>
      </c>
      <c r="H80" s="26" t="s">
        <v>71</v>
      </c>
      <c r="I80" s="27">
        <f>G80</f>
        <v>290682</v>
      </c>
      <c r="J80" s="51" t="s">
        <v>59</v>
      </c>
      <c r="K80" s="54" t="s">
        <v>75</v>
      </c>
      <c r="L80" s="55"/>
      <c r="M80" s="56"/>
      <c r="N80" s="56"/>
      <c r="O80" s="55"/>
    </row>
    <row r="81" s="1" customFormat="1" ht="18" customHeight="1" spans="1:15">
      <c r="A81" s="35"/>
      <c r="B81" s="21">
        <f t="shared" si="6"/>
        <v>0</v>
      </c>
      <c r="C81" s="39"/>
      <c r="D81" s="37"/>
      <c r="E81" s="74"/>
      <c r="F81" s="36">
        <f t="shared" si="7"/>
        <v>0</v>
      </c>
      <c r="G81" s="30"/>
      <c r="H81" s="26" t="s">
        <v>76</v>
      </c>
      <c r="I81" s="27">
        <v>3000</v>
      </c>
      <c r="J81" s="51" t="s">
        <v>59</v>
      </c>
      <c r="K81" s="54" t="s">
        <v>74</v>
      </c>
      <c r="L81" s="55"/>
      <c r="M81" s="56"/>
      <c r="N81" s="56"/>
      <c r="O81" s="55"/>
    </row>
    <row r="82" s="1" customFormat="1" ht="18" customHeight="1" spans="1:15">
      <c r="A82" s="35"/>
      <c r="B82" s="21">
        <f t="shared" si="6"/>
        <v>0</v>
      </c>
      <c r="C82" s="39"/>
      <c r="D82" s="37"/>
      <c r="E82" s="74"/>
      <c r="F82" s="36">
        <f t="shared" si="7"/>
        <v>0</v>
      </c>
      <c r="G82" s="30"/>
      <c r="H82" s="26" t="s">
        <v>76</v>
      </c>
      <c r="I82" s="27">
        <v>-563677</v>
      </c>
      <c r="J82" s="51" t="s">
        <v>61</v>
      </c>
      <c r="K82" s="54" t="s">
        <v>77</v>
      </c>
      <c r="L82" s="55"/>
      <c r="M82" s="56"/>
      <c r="N82" s="56"/>
      <c r="O82" s="55"/>
    </row>
    <row r="83" s="1" customFormat="1" ht="18" customHeight="1" spans="1:15">
      <c r="A83" s="35"/>
      <c r="B83" s="21">
        <f t="shared" si="6"/>
        <v>0</v>
      </c>
      <c r="C83" s="39"/>
      <c r="D83" s="37"/>
      <c r="E83" s="74"/>
      <c r="F83" s="36">
        <f t="shared" si="7"/>
        <v>0</v>
      </c>
      <c r="G83" s="30"/>
      <c r="H83" s="26" t="s">
        <v>76</v>
      </c>
      <c r="I83" s="27">
        <v>-181186</v>
      </c>
      <c r="J83" s="51" t="s">
        <v>78</v>
      </c>
      <c r="K83" s="54" t="s">
        <v>79</v>
      </c>
      <c r="L83" s="55"/>
      <c r="M83" s="56"/>
      <c r="N83" s="56"/>
      <c r="O83" s="55"/>
    </row>
    <row r="84" s="1" customFormat="1" ht="18" customHeight="1" spans="1:15">
      <c r="A84" s="35"/>
      <c r="B84" s="21">
        <f t="shared" si="6"/>
        <v>0</v>
      </c>
      <c r="C84" s="39"/>
      <c r="D84" s="37"/>
      <c r="E84" s="74"/>
      <c r="F84" s="21">
        <f t="shared" si="7"/>
        <v>0</v>
      </c>
      <c r="G84" s="30"/>
      <c r="H84" s="26" t="s">
        <v>76</v>
      </c>
      <c r="I84" s="29">
        <v>181186</v>
      </c>
      <c r="J84" s="51" t="s">
        <v>59</v>
      </c>
      <c r="K84" s="54" t="s">
        <v>63</v>
      </c>
      <c r="L84" s="55"/>
      <c r="M84" s="56"/>
      <c r="N84" s="56"/>
      <c r="O84" s="55"/>
    </row>
    <row r="85" s="1" customFormat="1" ht="18" customHeight="1" spans="1:15">
      <c r="A85" s="35"/>
      <c r="B85" s="21">
        <f t="shared" si="6"/>
        <v>0</v>
      </c>
      <c r="C85" s="39"/>
      <c r="D85" s="37"/>
      <c r="E85" s="74"/>
      <c r="F85" s="21">
        <f t="shared" si="7"/>
        <v>0</v>
      </c>
      <c r="G85" s="30"/>
      <c r="H85" s="26" t="s">
        <v>76</v>
      </c>
      <c r="I85" s="27">
        <v>563677</v>
      </c>
      <c r="J85" s="51" t="s">
        <v>65</v>
      </c>
      <c r="K85" s="54" t="s">
        <v>66</v>
      </c>
      <c r="L85" s="55"/>
      <c r="M85" s="56"/>
      <c r="N85" s="56"/>
      <c r="O85" s="55"/>
    </row>
    <row r="86" s="1" customFormat="1" ht="18" customHeight="1" spans="1:15">
      <c r="A86" s="35"/>
      <c r="B86" s="21">
        <f t="shared" si="6"/>
        <v>0</v>
      </c>
      <c r="C86" s="39"/>
      <c r="D86" s="37"/>
      <c r="E86" s="74"/>
      <c r="F86" s="21">
        <f t="shared" si="7"/>
        <v>0</v>
      </c>
      <c r="G86" s="30"/>
      <c r="H86" s="26" t="s">
        <v>76</v>
      </c>
      <c r="I86" s="27">
        <v>47062</v>
      </c>
      <c r="J86" s="51" t="s">
        <v>59</v>
      </c>
      <c r="K86" s="54" t="s">
        <v>80</v>
      </c>
      <c r="L86" s="55"/>
      <c r="M86" s="56"/>
      <c r="N86" s="56"/>
      <c r="O86" s="55"/>
    </row>
    <row r="87" s="1" customFormat="1" ht="18" customHeight="1" spans="1:15">
      <c r="A87" s="35"/>
      <c r="B87" s="21">
        <f t="shared" si="6"/>
        <v>0</v>
      </c>
      <c r="C87" s="39"/>
      <c r="D87" s="37"/>
      <c r="E87" s="74"/>
      <c r="F87" s="21">
        <f t="shared" si="7"/>
        <v>0</v>
      </c>
      <c r="G87" s="30"/>
      <c r="H87" s="26" t="s">
        <v>76</v>
      </c>
      <c r="I87" s="27">
        <v>1412</v>
      </c>
      <c r="J87" s="51" t="s">
        <v>59</v>
      </c>
      <c r="K87" s="54" t="s">
        <v>67</v>
      </c>
      <c r="L87" s="55"/>
      <c r="M87" s="56"/>
      <c r="N87" s="56"/>
      <c r="O87" s="55"/>
    </row>
    <row r="88" s="1" customFormat="1" ht="18" customHeight="1" spans="1:15">
      <c r="A88" s="35"/>
      <c r="B88" s="21">
        <f t="shared" si="6"/>
        <v>51296.82</v>
      </c>
      <c r="C88" s="39"/>
      <c r="D88" s="37"/>
      <c r="E88" s="74"/>
      <c r="F88" s="21">
        <f t="shared" si="7"/>
        <v>0</v>
      </c>
      <c r="G88" s="30">
        <f>I7*0.02</f>
        <v>51296.823</v>
      </c>
      <c r="H88" s="26" t="s">
        <v>76</v>
      </c>
      <c r="I88" s="27">
        <f>G88</f>
        <v>51296.823</v>
      </c>
      <c r="J88" s="51" t="s">
        <v>59</v>
      </c>
      <c r="K88" s="54" t="s">
        <v>81</v>
      </c>
      <c r="L88" s="55"/>
      <c r="M88" s="56"/>
      <c r="N88" s="56"/>
      <c r="O88" s="55"/>
    </row>
    <row r="89" s="111" customFormat="1" ht="45" customHeight="1" spans="1:15">
      <c r="A89" s="115"/>
      <c r="B89" s="116">
        <f t="shared" si="6"/>
        <v>0</v>
      </c>
      <c r="C89" s="117"/>
      <c r="D89" s="118"/>
      <c r="E89" s="119"/>
      <c r="F89" s="116">
        <f t="shared" si="7"/>
        <v>0</v>
      </c>
      <c r="G89" s="116"/>
      <c r="H89" s="120"/>
      <c r="I89" s="131"/>
      <c r="J89" s="132"/>
      <c r="K89" s="133" t="s">
        <v>82</v>
      </c>
      <c r="L89" s="134"/>
      <c r="M89" s="135"/>
      <c r="N89" s="135"/>
      <c r="O89" s="134"/>
    </row>
    <row r="90" ht="18" customHeight="1" spans="1:15">
      <c r="A90" s="113" t="s">
        <v>23</v>
      </c>
      <c r="B90" s="121">
        <f>SUM(B16:B89)</f>
        <v>9147025.34</v>
      </c>
      <c r="C90" s="113"/>
      <c r="D90" s="122"/>
      <c r="E90" s="122"/>
      <c r="F90" s="123">
        <f>SUM(F17:F89)</f>
        <v>280944.53</v>
      </c>
      <c r="G90" s="124">
        <f>SUM(G17:G89)</f>
        <v>9412580.823</v>
      </c>
      <c r="H90" s="125"/>
      <c r="I90" s="106">
        <f>SUM(I17:I89)</f>
        <v>10150594.1249046</v>
      </c>
      <c r="J90" s="136"/>
      <c r="K90" s="122"/>
      <c r="L90" s="52"/>
      <c r="M90" s="51"/>
      <c r="N90" s="51"/>
      <c r="O90" s="52"/>
    </row>
    <row r="91" ht="18" customHeight="1" spans="1:14">
      <c r="A91" s="79" t="s">
        <v>83</v>
      </c>
      <c r="B91" s="80">
        <f>B13*0.92</f>
        <v>8586086.98788991</v>
      </c>
      <c r="C91" s="79"/>
      <c r="D91" s="81"/>
      <c r="E91" s="81"/>
      <c r="F91" s="80">
        <f t="shared" ref="F91:I91" si="8">F13-F90</f>
        <v>372344.69733945</v>
      </c>
      <c r="G91" s="80">
        <f t="shared" si="8"/>
        <v>760065.716999998</v>
      </c>
      <c r="H91" s="25" t="s">
        <v>84</v>
      </c>
      <c r="I91" s="106">
        <f t="shared" si="8"/>
        <v>22712.0250954125</v>
      </c>
      <c r="J91" s="10"/>
      <c r="K91" s="107"/>
      <c r="M91" s="108"/>
      <c r="N91" s="108"/>
    </row>
    <row r="92" ht="18" customHeight="1" spans="1:14">
      <c r="A92" s="79" t="s">
        <v>85</v>
      </c>
      <c r="B92" s="80">
        <f>B91-B90</f>
        <v>-560938.35211009</v>
      </c>
      <c r="C92" s="79"/>
      <c r="D92" s="81"/>
      <c r="E92" s="81"/>
      <c r="F92" s="80"/>
      <c r="G92" s="80"/>
      <c r="H92" s="82"/>
      <c r="I92" s="80"/>
      <c r="J92" s="10"/>
      <c r="K92" s="107"/>
      <c r="M92" s="108"/>
      <c r="N92" s="108"/>
    </row>
    <row r="93" ht="18" customHeight="1" spans="1:18">
      <c r="A93" s="5" t="s">
        <v>86</v>
      </c>
      <c r="C93" s="5"/>
      <c r="R93" s="10">
        <f>I72+I75+I82+I85</f>
        <v>21897</v>
      </c>
    </row>
    <row r="94" ht="18" customHeight="1" spans="1:15">
      <c r="A94" s="25" t="s">
        <v>87</v>
      </c>
      <c r="B94" s="24" t="s">
        <v>88</v>
      </c>
      <c r="C94" s="52"/>
      <c r="D94" s="25" t="s">
        <v>87</v>
      </c>
      <c r="E94" s="23" t="s">
        <v>16</v>
      </c>
      <c r="F94" s="24" t="s">
        <v>88</v>
      </c>
      <c r="G94" s="6" t="s">
        <v>89</v>
      </c>
      <c r="H94" s="126" t="s">
        <v>90</v>
      </c>
      <c r="I94" s="126" t="s">
        <v>91</v>
      </c>
      <c r="K94" s="24" t="s">
        <v>92</v>
      </c>
      <c r="M94" s="25" t="s">
        <v>123</v>
      </c>
      <c r="N94" s="25"/>
      <c r="O94" s="25"/>
    </row>
    <row r="95" ht="18" customHeight="1" spans="1:15">
      <c r="A95" s="52" t="s">
        <v>93</v>
      </c>
      <c r="B95" s="21">
        <f>(B91-B90)*0.25</f>
        <v>-140234.588027522</v>
      </c>
      <c r="C95" s="52"/>
      <c r="D95" s="32" t="s">
        <v>94</v>
      </c>
      <c r="E95" s="25" t="s">
        <v>95</v>
      </c>
      <c r="F95" s="123">
        <f>F13-F90</f>
        <v>372344.69733945</v>
      </c>
      <c r="G95" s="6">
        <f>F7</f>
        <v>164714.569266055</v>
      </c>
      <c r="H95" s="127">
        <f>F7</f>
        <v>164714.569266055</v>
      </c>
      <c r="I95" s="27">
        <f>F9-F19-F20</f>
        <v>223803.614036697</v>
      </c>
      <c r="K95" s="27">
        <f>F95-H95-I95+G106+I106</f>
        <v>136752.184036698</v>
      </c>
      <c r="M95" s="51">
        <f>F95-H95-I95-K95+G106+I106</f>
        <v>0</v>
      </c>
      <c r="N95" s="51"/>
      <c r="O95" s="51"/>
    </row>
    <row r="96" ht="18" customHeight="1" spans="1:15">
      <c r="A96" s="52" t="s">
        <v>96</v>
      </c>
      <c r="B96" s="87" t="s">
        <v>97</v>
      </c>
      <c r="C96" s="52"/>
      <c r="D96" s="88" t="s">
        <v>98</v>
      </c>
      <c r="E96" s="17">
        <v>0.05</v>
      </c>
      <c r="F96" s="27">
        <f>F95*E96</f>
        <v>18617.2348669725</v>
      </c>
      <c r="G96" s="6">
        <f>G95*E96</f>
        <v>8235.72846330275</v>
      </c>
      <c r="H96" s="128">
        <f>H95*E96</f>
        <v>8235.72846330275</v>
      </c>
      <c r="I96" s="27">
        <f>I95*E96</f>
        <v>11190.1807018349</v>
      </c>
      <c r="K96" s="27">
        <f>K95*E96</f>
        <v>6837.6092018349</v>
      </c>
      <c r="M96" s="51">
        <v>0</v>
      </c>
      <c r="N96" s="51"/>
      <c r="O96" s="51"/>
    </row>
    <row r="97" ht="18" customHeight="1" spans="1:15">
      <c r="A97" s="52" t="s">
        <v>67</v>
      </c>
      <c r="B97" s="87"/>
      <c r="C97" s="52"/>
      <c r="D97" s="88" t="s">
        <v>99</v>
      </c>
      <c r="E97" s="17">
        <v>0.03</v>
      </c>
      <c r="F97" s="27">
        <f>F95*E97</f>
        <v>11170.3409201835</v>
      </c>
      <c r="G97" s="6">
        <f>G95*E97</f>
        <v>4941.43707798165</v>
      </c>
      <c r="H97" s="128">
        <f>H95*E97</f>
        <v>4941.43707798165</v>
      </c>
      <c r="I97" s="27">
        <f>I95*E97</f>
        <v>6714.10842110092</v>
      </c>
      <c r="K97" s="27">
        <f>K95*E97</f>
        <v>4102.56552110094</v>
      </c>
      <c r="M97" s="51">
        <v>0</v>
      </c>
      <c r="N97" s="51"/>
      <c r="O97" s="51"/>
    </row>
    <row r="98" ht="18" customHeight="1" spans="1:15">
      <c r="A98" s="52"/>
      <c r="B98" s="27"/>
      <c r="C98" s="52"/>
      <c r="D98" s="88" t="s">
        <v>100</v>
      </c>
      <c r="E98" s="17">
        <v>0.02</v>
      </c>
      <c r="F98" s="27">
        <f>F95*E98</f>
        <v>7446.893946789</v>
      </c>
      <c r="G98" s="6">
        <f>G95*E98</f>
        <v>3294.2913853211</v>
      </c>
      <c r="H98" s="128">
        <f>H95*E98</f>
        <v>3294.2913853211</v>
      </c>
      <c r="I98" s="27">
        <f>I95*E98</f>
        <v>4476.07228073394</v>
      </c>
      <c r="K98" s="27">
        <f>K95*E98</f>
        <v>2735.04368073396</v>
      </c>
      <c r="M98" s="51" t="s">
        <v>123</v>
      </c>
      <c r="N98" s="51"/>
      <c r="O98" s="51"/>
    </row>
    <row r="99" ht="18" customHeight="1" spans="1:15">
      <c r="A99" s="32" t="s">
        <v>101</v>
      </c>
      <c r="B99" s="121">
        <f t="shared" ref="B99:I99" si="9">SUM(B95:B98)</f>
        <v>-140234.588027522</v>
      </c>
      <c r="C99" s="52"/>
      <c r="D99" s="34" t="s">
        <v>101</v>
      </c>
      <c r="E99" s="32"/>
      <c r="F99" s="123">
        <f t="shared" si="9"/>
        <v>409579.167073395</v>
      </c>
      <c r="G99" s="6">
        <f t="shared" si="9"/>
        <v>181186.026192661</v>
      </c>
      <c r="H99" s="127">
        <f t="shared" si="9"/>
        <v>181186.026192661</v>
      </c>
      <c r="I99" s="27">
        <f t="shared" si="9"/>
        <v>246183.975440367</v>
      </c>
      <c r="K99" s="27">
        <f>SUM(K95:K98)</f>
        <v>150427.402440368</v>
      </c>
      <c r="M99" s="51">
        <v>0</v>
      </c>
      <c r="N99" s="51"/>
      <c r="O99" s="51"/>
    </row>
    <row r="100" ht="18" customHeight="1" spans="3:15">
      <c r="C100" s="5"/>
      <c r="D100" s="15" t="s">
        <v>67</v>
      </c>
      <c r="E100" s="129">
        <v>0.0006</v>
      </c>
      <c r="F100" s="27">
        <f>B13*E100</f>
        <v>5599.62194862385</v>
      </c>
      <c r="H100" s="27">
        <f>B7*E100</f>
        <v>1411.83916513761</v>
      </c>
      <c r="I100" s="27">
        <f>B9*0.0006</f>
        <v>2521.91009174312</v>
      </c>
      <c r="K100" s="70">
        <f>B10*E100</f>
        <v>665.513647706422</v>
      </c>
      <c r="M100" s="51">
        <f>E100*B11</f>
        <v>1000.3590440367</v>
      </c>
      <c r="N100" s="51"/>
      <c r="O100" s="51"/>
    </row>
    <row r="101" ht="18" customHeight="1" spans="3:15">
      <c r="C101" s="5"/>
      <c r="D101" s="23" t="s">
        <v>101</v>
      </c>
      <c r="E101" s="122"/>
      <c r="F101" s="106">
        <f>F100</f>
        <v>5599.62194862385</v>
      </c>
      <c r="H101" s="106">
        <f>H100</f>
        <v>1411.83916513761</v>
      </c>
      <c r="I101" s="27"/>
      <c r="K101" s="52"/>
      <c r="M101" s="109">
        <f>M100</f>
        <v>1000.3590440367</v>
      </c>
      <c r="N101" s="109"/>
      <c r="O101" s="109"/>
    </row>
    <row r="102" ht="18" customHeight="1" spans="3:15">
      <c r="C102" s="5"/>
      <c r="D102" s="23" t="s">
        <v>23</v>
      </c>
      <c r="E102" s="113"/>
      <c r="F102" s="106">
        <f>F99+F101</f>
        <v>415178.789022019</v>
      </c>
      <c r="H102" s="106">
        <f>H99+H101</f>
        <v>182597.865357798</v>
      </c>
      <c r="I102" s="27"/>
      <c r="K102" s="52"/>
      <c r="M102" s="109"/>
      <c r="N102" s="109"/>
      <c r="O102" s="109"/>
    </row>
    <row r="103" ht="18" customHeight="1" spans="3:15">
      <c r="C103" s="5"/>
      <c r="D103" s="113" t="s">
        <v>93</v>
      </c>
      <c r="E103" s="122">
        <v>0.02</v>
      </c>
      <c r="F103" s="106">
        <f>B13*E103</f>
        <v>186654.064954128</v>
      </c>
      <c r="G103" s="130" t="s">
        <v>102</v>
      </c>
      <c r="H103" s="106">
        <f>B7*E103</f>
        <v>47061.3055045872</v>
      </c>
      <c r="I103" s="52">
        <f>G9*E103</f>
        <v>91629.4</v>
      </c>
      <c r="K103" s="52">
        <f>B10*E103</f>
        <v>22183.7882568807</v>
      </c>
      <c r="M103" s="109">
        <f>E103*G11</f>
        <v>36346.3786</v>
      </c>
      <c r="N103" s="109"/>
      <c r="O103" s="109"/>
    </row>
    <row r="104" ht="18" customHeight="1" spans="3:7">
      <c r="C104" s="5"/>
      <c r="G104" s="130" t="s">
        <v>103</v>
      </c>
    </row>
    <row r="105" ht="18" customHeight="1" spans="3:9">
      <c r="C105" s="5"/>
      <c r="E105" s="25" t="s">
        <v>87</v>
      </c>
      <c r="F105" s="23" t="s">
        <v>16</v>
      </c>
      <c r="G105" s="24" t="s">
        <v>104</v>
      </c>
      <c r="H105" s="15"/>
      <c r="I105" s="27" t="s">
        <v>105</v>
      </c>
    </row>
    <row r="106" ht="18" customHeight="1" spans="3:9">
      <c r="C106" s="5"/>
      <c r="E106" s="32" t="s">
        <v>94</v>
      </c>
      <c r="F106" s="25" t="s">
        <v>95</v>
      </c>
      <c r="G106" s="123">
        <f>F17+F18</f>
        <v>115191.16</v>
      </c>
      <c r="H106" s="15"/>
      <c r="I106" s="27">
        <f>F23</f>
        <v>37734.51</v>
      </c>
    </row>
    <row r="107" spans="3:9">
      <c r="C107" s="5"/>
      <c r="E107" s="88" t="s">
        <v>98</v>
      </c>
      <c r="F107" s="17">
        <v>0.05</v>
      </c>
      <c r="G107" s="27">
        <f>G106*E96</f>
        <v>5759.558</v>
      </c>
      <c r="H107" s="15"/>
      <c r="I107" s="27">
        <f>I106*E96</f>
        <v>1886.7255</v>
      </c>
    </row>
    <row r="108" spans="3:9">
      <c r="C108" s="5"/>
      <c r="E108" s="88" t="s">
        <v>99</v>
      </c>
      <c r="F108" s="17">
        <v>0.03</v>
      </c>
      <c r="G108" s="27">
        <f>G106*E97</f>
        <v>3455.7348</v>
      </c>
      <c r="H108" s="15"/>
      <c r="I108" s="27">
        <f>I106*E97</f>
        <v>1132.0353</v>
      </c>
    </row>
    <row r="109" spans="3:9">
      <c r="C109" s="5"/>
      <c r="E109" s="88" t="s">
        <v>100</v>
      </c>
      <c r="F109" s="17">
        <v>0.02</v>
      </c>
      <c r="G109" s="27">
        <f>G106*E98</f>
        <v>2303.8232</v>
      </c>
      <c r="H109" s="15"/>
      <c r="I109" s="27">
        <f>I106*E98</f>
        <v>754.6902</v>
      </c>
    </row>
    <row r="110" spans="3:9">
      <c r="C110" s="5"/>
      <c r="E110" s="34" t="s">
        <v>101</v>
      </c>
      <c r="F110" s="32"/>
      <c r="G110" s="123">
        <f>SUM(G106:G109)</f>
        <v>126710.276</v>
      </c>
      <c r="H110" s="15"/>
      <c r="I110" s="137">
        <f>SUM(I106:I109)</f>
        <v>41507.961</v>
      </c>
    </row>
    <row r="111" spans="3:9">
      <c r="C111" s="5"/>
      <c r="G111" s="80" t="s">
        <v>106</v>
      </c>
      <c r="I111" s="80" t="s">
        <v>107</v>
      </c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</sheetData>
  <protectedRanges>
    <protectedRange sqref="I19" name="区域1"/>
  </protectedRanges>
  <autoFilter ref="A15:R121">
    <extLst/>
  </autoFilter>
  <mergeCells count="18">
    <mergeCell ref="A1:J1"/>
    <mergeCell ref="H2:J2"/>
    <mergeCell ref="C5:D5"/>
    <mergeCell ref="E5:F5"/>
    <mergeCell ref="H5:J5"/>
    <mergeCell ref="M94:O94"/>
    <mergeCell ref="M95:O95"/>
    <mergeCell ref="M96:O96"/>
    <mergeCell ref="M97:O97"/>
    <mergeCell ref="M98:O98"/>
    <mergeCell ref="M99:O99"/>
    <mergeCell ref="M100:O100"/>
    <mergeCell ref="M101:O101"/>
    <mergeCell ref="M102:O102"/>
    <mergeCell ref="M103:O103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5"/>
  <sheetViews>
    <sheetView topLeftCell="C37" workbookViewId="0">
      <selection activeCell="B20" sqref="B20"/>
    </sheetView>
  </sheetViews>
  <sheetFormatPr defaultColWidth="9" defaultRowHeight="11.25"/>
  <cols>
    <col min="1" max="1" width="10.75" style="5" customWidth="1"/>
    <col min="2" max="2" width="13.1333333333333" style="6" customWidth="1"/>
    <col min="3" max="3" width="6" style="7" customWidth="1"/>
    <col min="4" max="4" width="14.5" style="7" customWidth="1"/>
    <col min="5" max="5" width="6" style="7" customWidth="1"/>
    <col min="6" max="6" width="13.1333333333333" style="6" customWidth="1"/>
    <col min="7" max="7" width="15.5" style="6" customWidth="1"/>
    <col min="8" max="8" width="12.6333333333333" style="7" customWidth="1"/>
    <col min="9" max="9" width="13.8833333333333" style="6" customWidth="1"/>
    <col min="10" max="10" width="6.13333333333333" style="9" customWidth="1"/>
    <col min="11" max="11" width="31.5" style="10" customWidth="1"/>
    <col min="12" max="12" width="12.75" style="10" customWidth="1"/>
    <col min="13" max="13" width="8.38333333333333" style="10" customWidth="1"/>
    <col min="14" max="14" width="5.63333333333333" style="10" customWidth="1"/>
    <col min="15" max="15" width="9.63333333333333" style="10"/>
    <col min="16" max="17" width="9" style="10"/>
    <col min="18" max="18" width="10.3833333333333" style="10"/>
    <col min="19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2"/>
      <c r="L1" s="22"/>
    </row>
    <row r="2" ht="18" customHeight="1" spans="1:12">
      <c r="A2" s="13" t="s">
        <v>1</v>
      </c>
      <c r="B2" s="14">
        <v>43594</v>
      </c>
      <c r="C2" s="15" t="s">
        <v>2</v>
      </c>
      <c r="D2" s="16">
        <v>17098941</v>
      </c>
      <c r="E2" s="17" t="s">
        <v>3</v>
      </c>
      <c r="F2" s="18" t="s">
        <v>4</v>
      </c>
      <c r="G2" s="19" t="s">
        <v>5</v>
      </c>
      <c r="H2" s="112" t="s">
        <v>6</v>
      </c>
      <c r="I2" s="48"/>
      <c r="J2" s="49"/>
      <c r="K2" s="22"/>
      <c r="L2" s="22"/>
    </row>
    <row r="3" ht="18" customHeight="1" spans="1:12">
      <c r="A3" s="13" t="s">
        <v>7</v>
      </c>
      <c r="B3" s="21"/>
      <c r="C3" s="15" t="s">
        <v>8</v>
      </c>
      <c r="D3" s="15"/>
      <c r="H3" s="22"/>
      <c r="I3" s="50"/>
      <c r="J3" s="22"/>
      <c r="K3" s="22"/>
      <c r="L3" s="22"/>
    </row>
    <row r="4" ht="18" customHeight="1" spans="1:12">
      <c r="A4" s="5" t="s">
        <v>9</v>
      </c>
      <c r="H4" s="22"/>
      <c r="I4" s="50"/>
      <c r="J4" s="22"/>
      <c r="K4" s="22"/>
      <c r="L4" s="22"/>
    </row>
    <row r="5" ht="18" customHeight="1" spans="1:10">
      <c r="A5" s="23" t="s">
        <v>10</v>
      </c>
      <c r="B5" s="24" t="s">
        <v>11</v>
      </c>
      <c r="C5" s="23" t="s">
        <v>12</v>
      </c>
      <c r="D5" s="23"/>
      <c r="E5" s="23" t="s">
        <v>13</v>
      </c>
      <c r="F5" s="24"/>
      <c r="G5" s="24" t="s">
        <v>14</v>
      </c>
      <c r="H5" s="25" t="s">
        <v>15</v>
      </c>
      <c r="I5" s="24"/>
      <c r="J5" s="25"/>
    </row>
    <row r="6" ht="18" customHeight="1" spans="1:10">
      <c r="A6" s="23"/>
      <c r="B6" s="24"/>
      <c r="C6" s="23" t="s">
        <v>16</v>
      </c>
      <c r="D6" s="23" t="s">
        <v>17</v>
      </c>
      <c r="E6" s="23" t="s">
        <v>16</v>
      </c>
      <c r="F6" s="24" t="s">
        <v>17</v>
      </c>
      <c r="G6" s="24"/>
      <c r="H6" s="25" t="s">
        <v>18</v>
      </c>
      <c r="I6" s="24" t="s">
        <v>19</v>
      </c>
      <c r="J6" s="25" t="s">
        <v>20</v>
      </c>
    </row>
    <row r="7" ht="18" customHeight="1" spans="1:10">
      <c r="A7" s="26">
        <v>43679</v>
      </c>
      <c r="B7" s="27">
        <f t="shared" ref="B7:B12" si="0">G7/(1+C7+E7)</f>
        <v>2353065.27522936</v>
      </c>
      <c r="C7" s="28">
        <v>0.02</v>
      </c>
      <c r="D7" s="29">
        <f t="shared" ref="D7:D12" si="1">G7/(1+E7+C7)*C7</f>
        <v>47061.3055045872</v>
      </c>
      <c r="E7" s="28">
        <v>0.07</v>
      </c>
      <c r="F7" s="27">
        <f t="shared" ref="F7:F12" si="2">G7/(1+C7+E7)*E7</f>
        <v>164714.569266055</v>
      </c>
      <c r="G7" s="30">
        <v>2564841.15</v>
      </c>
      <c r="H7" s="26">
        <v>43682</v>
      </c>
      <c r="I7" s="27">
        <v>2564841.15</v>
      </c>
      <c r="J7" s="51" t="s">
        <v>21</v>
      </c>
    </row>
    <row r="8" ht="18" customHeight="1" spans="1:10">
      <c r="A8" s="26"/>
      <c r="B8" s="27"/>
      <c r="C8" s="28"/>
      <c r="D8" s="29"/>
      <c r="E8" s="28"/>
      <c r="F8" s="27"/>
      <c r="G8" s="30"/>
      <c r="H8" s="26">
        <v>43850</v>
      </c>
      <c r="I8" s="27">
        <v>3665176</v>
      </c>
      <c r="J8" s="51" t="s">
        <v>21</v>
      </c>
    </row>
    <row r="9" ht="18" customHeight="1" spans="1:10">
      <c r="A9" s="26">
        <v>43838</v>
      </c>
      <c r="B9" s="27">
        <f t="shared" si="0"/>
        <v>4203183.48623853</v>
      </c>
      <c r="C9" s="28">
        <v>0.02</v>
      </c>
      <c r="D9" s="29">
        <f t="shared" si="1"/>
        <v>84063.6697247706</v>
      </c>
      <c r="E9" s="31">
        <v>0.07</v>
      </c>
      <c r="F9" s="27">
        <f t="shared" si="2"/>
        <v>294222.844036697</v>
      </c>
      <c r="G9" s="30">
        <v>4581470</v>
      </c>
      <c r="H9" s="26">
        <v>43850</v>
      </c>
      <c r="I9" s="27">
        <v>916294</v>
      </c>
      <c r="J9" s="51" t="s">
        <v>22</v>
      </c>
    </row>
    <row r="10" ht="18" customHeight="1" spans="1:10">
      <c r="A10" s="26">
        <v>43962</v>
      </c>
      <c r="B10" s="27">
        <f t="shared" si="0"/>
        <v>1109189.41284404</v>
      </c>
      <c r="C10" s="31">
        <v>0.02</v>
      </c>
      <c r="D10" s="29">
        <f t="shared" si="1"/>
        <v>22183.7882568807</v>
      </c>
      <c r="E10" s="31">
        <v>0.07</v>
      </c>
      <c r="F10" s="27">
        <f t="shared" si="2"/>
        <v>77643.2588990826</v>
      </c>
      <c r="G10" s="30">
        <v>1209016.46</v>
      </c>
      <c r="H10" s="26">
        <v>43971</v>
      </c>
      <c r="I10" s="27">
        <v>1209016.46</v>
      </c>
      <c r="J10" s="51" t="s">
        <v>21</v>
      </c>
    </row>
    <row r="11" ht="18" customHeight="1" spans="1:10">
      <c r="A11" s="26">
        <v>44092</v>
      </c>
      <c r="B11" s="27">
        <f t="shared" si="0"/>
        <v>1667265.0733945</v>
      </c>
      <c r="C11" s="31">
        <v>0.02</v>
      </c>
      <c r="D11" s="29">
        <f t="shared" si="1"/>
        <v>33345.3014678899</v>
      </c>
      <c r="E11" s="31">
        <v>0.07</v>
      </c>
      <c r="F11" s="27">
        <f t="shared" si="2"/>
        <v>116708.555137615</v>
      </c>
      <c r="G11" s="30">
        <v>1817318.93</v>
      </c>
      <c r="H11" s="26">
        <v>44119</v>
      </c>
      <c r="I11" s="27">
        <v>1453855.14</v>
      </c>
      <c r="J11" s="51" t="s">
        <v>124</v>
      </c>
    </row>
    <row r="12" ht="18" customHeight="1" spans="1:10">
      <c r="A12" s="26"/>
      <c r="B12" s="27">
        <f t="shared" si="0"/>
        <v>0</v>
      </c>
      <c r="C12" s="28">
        <v>0.02</v>
      </c>
      <c r="D12" s="29">
        <f t="shared" si="1"/>
        <v>0</v>
      </c>
      <c r="E12" s="31">
        <v>0.07</v>
      </c>
      <c r="F12" s="27">
        <f t="shared" si="2"/>
        <v>0</v>
      </c>
      <c r="G12" s="30"/>
      <c r="H12" s="26">
        <v>44135</v>
      </c>
      <c r="I12" s="27">
        <v>364123.4</v>
      </c>
      <c r="J12" s="51" t="s">
        <v>131</v>
      </c>
    </row>
    <row r="13" ht="18" customHeight="1" spans="1:10">
      <c r="A13" s="32" t="s">
        <v>23</v>
      </c>
      <c r="B13" s="33">
        <f t="shared" ref="B13:G13" si="3">SUM(B7:B12)</f>
        <v>9332703.24770642</v>
      </c>
      <c r="C13" s="113"/>
      <c r="D13" s="106">
        <f t="shared" si="3"/>
        <v>186654.064954128</v>
      </c>
      <c r="E13" s="113"/>
      <c r="F13" s="33">
        <f t="shared" si="3"/>
        <v>653289.22733945</v>
      </c>
      <c r="G13" s="106">
        <f t="shared" si="3"/>
        <v>10172646.54</v>
      </c>
      <c r="H13" s="52"/>
      <c r="I13" s="106">
        <f>SUM(I7:I12)</f>
        <v>10173306.15</v>
      </c>
      <c r="J13" s="52"/>
    </row>
    <row r="14" ht="18" customHeight="1" spans="1:12">
      <c r="A14" s="5" t="s">
        <v>24</v>
      </c>
      <c r="J14" s="7"/>
      <c r="K14" s="7"/>
      <c r="L14" s="9"/>
    </row>
    <row r="15" ht="18" customHeight="1" spans="1:15">
      <c r="A15" s="34" t="s">
        <v>25</v>
      </c>
      <c r="B15" s="24" t="s">
        <v>26</v>
      </c>
      <c r="C15" s="23" t="s">
        <v>27</v>
      </c>
      <c r="D15" s="23" t="s">
        <v>28</v>
      </c>
      <c r="E15" s="23" t="s">
        <v>16</v>
      </c>
      <c r="F15" s="24" t="s">
        <v>29</v>
      </c>
      <c r="G15" s="24" t="s">
        <v>14</v>
      </c>
      <c r="H15" s="23" t="s">
        <v>30</v>
      </c>
      <c r="I15" s="24" t="s">
        <v>31</v>
      </c>
      <c r="J15" s="23" t="s">
        <v>20</v>
      </c>
      <c r="K15" s="53" t="s">
        <v>32</v>
      </c>
      <c r="L15" s="25" t="s">
        <v>33</v>
      </c>
      <c r="M15" s="25" t="s">
        <v>34</v>
      </c>
      <c r="N15" s="25" t="s">
        <v>35</v>
      </c>
      <c r="O15" s="25" t="s">
        <v>36</v>
      </c>
    </row>
    <row r="16" customFormat="1" ht="18" customHeight="1" spans="1:15">
      <c r="A16" s="35">
        <v>43647</v>
      </c>
      <c r="B16" s="36">
        <f t="shared" ref="B16:B34" si="4">ROUND(G16/(1+E16),2)</f>
        <v>15389.05</v>
      </c>
      <c r="C16" s="23"/>
      <c r="D16" s="37" t="s">
        <v>37</v>
      </c>
      <c r="E16" s="38"/>
      <c r="F16" s="36">
        <f t="shared" ref="F16:F38" si="5">ROUND(G16/(1+E16)*E16,2)</f>
        <v>0</v>
      </c>
      <c r="G16" s="30">
        <v>15389.05</v>
      </c>
      <c r="H16" s="23"/>
      <c r="I16" s="24"/>
      <c r="J16" s="23"/>
      <c r="K16" s="53"/>
      <c r="L16" s="25"/>
      <c r="M16" s="25"/>
      <c r="N16" s="25"/>
      <c r="O16" s="25"/>
    </row>
    <row r="17" s="1" customFormat="1" ht="18" customHeight="1" spans="1:15">
      <c r="A17" s="35">
        <v>43678</v>
      </c>
      <c r="B17" s="36">
        <f t="shared" si="4"/>
        <v>619469.03</v>
      </c>
      <c r="C17" s="39"/>
      <c r="D17" s="37" t="s">
        <v>38</v>
      </c>
      <c r="E17" s="38">
        <v>0.13</v>
      </c>
      <c r="F17" s="36">
        <f t="shared" si="5"/>
        <v>80530.97</v>
      </c>
      <c r="G17" s="30">
        <v>700000</v>
      </c>
      <c r="H17" s="26">
        <v>43683</v>
      </c>
      <c r="I17" s="27">
        <v>700000</v>
      </c>
      <c r="J17" s="51" t="s">
        <v>21</v>
      </c>
      <c r="K17" s="54" t="s">
        <v>39</v>
      </c>
      <c r="L17" s="55" t="s">
        <v>40</v>
      </c>
      <c r="M17" s="56" t="s">
        <v>41</v>
      </c>
      <c r="N17" s="56" t="s">
        <v>42</v>
      </c>
      <c r="O17" s="55"/>
    </row>
    <row r="18" s="1" customFormat="1" ht="18" customHeight="1" spans="1:15">
      <c r="A18" s="35">
        <v>43678</v>
      </c>
      <c r="B18" s="36">
        <f t="shared" si="4"/>
        <v>1155339.81</v>
      </c>
      <c r="C18" s="39"/>
      <c r="D18" s="37" t="s">
        <v>38</v>
      </c>
      <c r="E18" s="38">
        <v>0.03</v>
      </c>
      <c r="F18" s="36">
        <f t="shared" si="5"/>
        <v>34660.19</v>
      </c>
      <c r="G18" s="30">
        <v>1190000</v>
      </c>
      <c r="H18" s="26">
        <v>43683</v>
      </c>
      <c r="I18" s="27">
        <v>1190000</v>
      </c>
      <c r="J18" s="51" t="s">
        <v>21</v>
      </c>
      <c r="K18" s="54" t="s">
        <v>43</v>
      </c>
      <c r="L18" s="55" t="s">
        <v>44</v>
      </c>
      <c r="M18" s="56"/>
      <c r="N18" s="56"/>
      <c r="O18" s="55"/>
    </row>
    <row r="19" s="1" customFormat="1" ht="18" customHeight="1" spans="1:15">
      <c r="A19" s="35">
        <v>43709</v>
      </c>
      <c r="B19" s="21">
        <f t="shared" si="4"/>
        <v>487699.12</v>
      </c>
      <c r="C19" s="39"/>
      <c r="D19" s="37" t="s">
        <v>38</v>
      </c>
      <c r="E19" s="38">
        <v>0.13</v>
      </c>
      <c r="F19" s="36">
        <f t="shared" si="5"/>
        <v>63400.88</v>
      </c>
      <c r="G19" s="30">
        <f>95700+99000*2+66000+92400+99000</f>
        <v>551100</v>
      </c>
      <c r="H19" s="26">
        <v>43718</v>
      </c>
      <c r="I19" s="57">
        <v>551100</v>
      </c>
      <c r="J19" s="51" t="s">
        <v>21</v>
      </c>
      <c r="K19" s="54" t="s">
        <v>39</v>
      </c>
      <c r="L19" s="55" t="s">
        <v>45</v>
      </c>
      <c r="M19" s="56" t="s">
        <v>41</v>
      </c>
      <c r="N19" s="56" t="s">
        <v>46</v>
      </c>
      <c r="O19" s="55"/>
    </row>
    <row r="20" s="1" customFormat="1" ht="18" customHeight="1" spans="1:15">
      <c r="A20" s="35">
        <v>43709</v>
      </c>
      <c r="B20" s="21">
        <f t="shared" si="4"/>
        <v>77981.65</v>
      </c>
      <c r="C20" s="39"/>
      <c r="D20" s="37" t="s">
        <v>38</v>
      </c>
      <c r="E20" s="38">
        <v>0.09</v>
      </c>
      <c r="F20" s="36">
        <f t="shared" si="5"/>
        <v>7018.35</v>
      </c>
      <c r="G20" s="30">
        <v>85000</v>
      </c>
      <c r="H20" s="26"/>
      <c r="I20" s="27"/>
      <c r="J20" s="51"/>
      <c r="K20" s="58" t="s">
        <v>47</v>
      </c>
      <c r="L20" s="55" t="s">
        <v>48</v>
      </c>
      <c r="M20" s="56"/>
      <c r="N20" s="56"/>
      <c r="O20" s="55"/>
    </row>
    <row r="21" s="1" customFormat="1" ht="18" customHeight="1" spans="1:15">
      <c r="A21" s="35"/>
      <c r="B21" s="21">
        <f t="shared" si="4"/>
        <v>0</v>
      </c>
      <c r="C21" s="39"/>
      <c r="D21" s="37"/>
      <c r="E21" s="40"/>
      <c r="F21" s="36">
        <f t="shared" si="5"/>
        <v>0</v>
      </c>
      <c r="G21" s="30"/>
      <c r="H21" s="26">
        <v>43851</v>
      </c>
      <c r="I21" s="27">
        <v>85000</v>
      </c>
      <c r="J21" s="51" t="s">
        <v>21</v>
      </c>
      <c r="K21" s="58" t="s">
        <v>49</v>
      </c>
      <c r="L21" s="55" t="s">
        <v>48</v>
      </c>
      <c r="M21" s="56"/>
      <c r="N21" s="56"/>
      <c r="O21" s="55"/>
    </row>
    <row r="22" s="2" customFormat="1" ht="18" customHeight="1" spans="1:15">
      <c r="A22" s="41">
        <v>43891</v>
      </c>
      <c r="B22" s="36">
        <f t="shared" si="4"/>
        <v>387610.62</v>
      </c>
      <c r="C22" s="42">
        <v>5</v>
      </c>
      <c r="D22" s="43" t="s">
        <v>38</v>
      </c>
      <c r="E22" s="40">
        <v>0.13</v>
      </c>
      <c r="F22" s="36">
        <f t="shared" si="5"/>
        <v>50389.38</v>
      </c>
      <c r="G22" s="30">
        <f>83422.36+92199+62519.24+99995.4+99864</f>
        <v>438000</v>
      </c>
      <c r="H22" s="44">
        <v>43852</v>
      </c>
      <c r="I22" s="29">
        <v>438000</v>
      </c>
      <c r="J22" s="59" t="s">
        <v>21</v>
      </c>
      <c r="K22" s="60" t="s">
        <v>50</v>
      </c>
      <c r="L22" s="61" t="s">
        <v>51</v>
      </c>
      <c r="M22" s="62"/>
      <c r="N22" s="63" t="s">
        <v>114</v>
      </c>
      <c r="O22" s="61"/>
    </row>
    <row r="23" s="2" customFormat="1" ht="18" customHeight="1" spans="1:15">
      <c r="A23" s="41">
        <v>43831</v>
      </c>
      <c r="B23" s="36">
        <f t="shared" si="4"/>
        <v>290265.49</v>
      </c>
      <c r="C23" s="42"/>
      <c r="D23" s="43" t="s">
        <v>38</v>
      </c>
      <c r="E23" s="40">
        <v>0.13</v>
      </c>
      <c r="F23" s="36">
        <f t="shared" si="5"/>
        <v>37734.51</v>
      </c>
      <c r="G23" s="30">
        <f>73800+82000+90200+82000</f>
        <v>328000</v>
      </c>
      <c r="H23" s="44">
        <v>43852</v>
      </c>
      <c r="I23" s="29">
        <v>328000</v>
      </c>
      <c r="J23" s="59" t="s">
        <v>21</v>
      </c>
      <c r="K23" s="60" t="s">
        <v>39</v>
      </c>
      <c r="L23" s="61" t="s">
        <v>52</v>
      </c>
      <c r="M23" s="62" t="s">
        <v>41</v>
      </c>
      <c r="N23" s="62" t="s">
        <v>41</v>
      </c>
      <c r="O23" s="61"/>
    </row>
    <row r="24" s="2" customFormat="1" ht="18" customHeight="1" spans="1:15">
      <c r="A24" s="41"/>
      <c r="B24" s="36">
        <f t="shared" si="4"/>
        <v>0</v>
      </c>
      <c r="C24" s="42"/>
      <c r="D24" s="43"/>
      <c r="E24" s="40"/>
      <c r="F24" s="36">
        <f t="shared" si="5"/>
        <v>0</v>
      </c>
      <c r="G24" s="30"/>
      <c r="H24" s="44">
        <v>43852</v>
      </c>
      <c r="I24" s="29">
        <v>916294</v>
      </c>
      <c r="J24" s="59" t="s">
        <v>22</v>
      </c>
      <c r="K24" s="60" t="s">
        <v>53</v>
      </c>
      <c r="L24" s="61" t="s">
        <v>54</v>
      </c>
      <c r="M24" s="62">
        <v>5138695.06</v>
      </c>
      <c r="N24" s="62"/>
      <c r="O24" s="61"/>
    </row>
    <row r="25" s="2" customFormat="1" ht="18" customHeight="1" spans="1:15">
      <c r="A25" s="41">
        <v>43891</v>
      </c>
      <c r="B25" s="36">
        <f t="shared" si="4"/>
        <v>2721460</v>
      </c>
      <c r="C25" s="42"/>
      <c r="D25" s="43" t="s">
        <v>37</v>
      </c>
      <c r="E25" s="40"/>
      <c r="F25" s="36">
        <f t="shared" si="5"/>
        <v>0</v>
      </c>
      <c r="G25" s="30">
        <f>100000*27+21460</f>
        <v>2721460</v>
      </c>
      <c r="H25" s="44">
        <v>43852</v>
      </c>
      <c r="I25" s="29">
        <v>980000</v>
      </c>
      <c r="J25" s="59" t="s">
        <v>21</v>
      </c>
      <c r="K25" s="60" t="s">
        <v>53</v>
      </c>
      <c r="L25" s="61" t="s">
        <v>54</v>
      </c>
      <c r="M25" s="62" t="s">
        <v>41</v>
      </c>
      <c r="N25" s="62"/>
      <c r="O25" s="61"/>
    </row>
    <row r="26" s="2" customFormat="1" ht="18" customHeight="1" spans="1:15">
      <c r="A26" s="41">
        <v>43891</v>
      </c>
      <c r="B26" s="36">
        <f t="shared" si="4"/>
        <v>240341.75</v>
      </c>
      <c r="C26" s="42">
        <v>25</v>
      </c>
      <c r="D26" s="43" t="s">
        <v>38</v>
      </c>
      <c r="E26" s="40">
        <v>0.03</v>
      </c>
      <c r="F26" s="36">
        <f t="shared" si="5"/>
        <v>7210.25</v>
      </c>
      <c r="G26" s="30">
        <f>7552+10000*24</f>
        <v>247552</v>
      </c>
      <c r="H26" s="44">
        <v>43852</v>
      </c>
      <c r="I26" s="29">
        <v>527552</v>
      </c>
      <c r="J26" s="59" t="s">
        <v>21</v>
      </c>
      <c r="K26" s="64" t="s">
        <v>43</v>
      </c>
      <c r="L26" s="61" t="s">
        <v>44</v>
      </c>
      <c r="M26" s="62"/>
      <c r="N26" s="62"/>
      <c r="O26" s="61"/>
    </row>
    <row r="27" s="2" customFormat="1" ht="18" customHeight="1" spans="1:15">
      <c r="A27" s="41"/>
      <c r="B27" s="36">
        <f t="shared" si="4"/>
        <v>0</v>
      </c>
      <c r="C27" s="42"/>
      <c r="D27" s="43"/>
      <c r="E27" s="40"/>
      <c r="F27" s="36">
        <f t="shared" si="5"/>
        <v>0</v>
      </c>
      <c r="G27" s="30"/>
      <c r="H27" s="44">
        <v>43900</v>
      </c>
      <c r="I27" s="29">
        <v>823772</v>
      </c>
      <c r="J27" s="59" t="s">
        <v>21</v>
      </c>
      <c r="K27" s="60" t="s">
        <v>53</v>
      </c>
      <c r="L27" s="61" t="s">
        <v>54</v>
      </c>
      <c r="M27" s="62" t="s">
        <v>41</v>
      </c>
      <c r="N27" s="62"/>
      <c r="O27" s="61"/>
    </row>
    <row r="28" s="2" customFormat="1" ht="18" customHeight="1" spans="1:15">
      <c r="A28" s="41"/>
      <c r="B28" s="36">
        <f t="shared" si="4"/>
        <v>0</v>
      </c>
      <c r="C28" s="42"/>
      <c r="D28" s="43"/>
      <c r="E28" s="40"/>
      <c r="F28" s="36">
        <f t="shared" si="5"/>
        <v>0</v>
      </c>
      <c r="G28" s="30"/>
      <c r="H28" s="44">
        <v>43972</v>
      </c>
      <c r="I28" s="29">
        <v>901394</v>
      </c>
      <c r="J28" s="59" t="s">
        <v>21</v>
      </c>
      <c r="K28" s="60" t="s">
        <v>53</v>
      </c>
      <c r="L28" s="61" t="s">
        <v>54</v>
      </c>
      <c r="M28" s="62" t="s">
        <v>41</v>
      </c>
      <c r="N28" s="62"/>
      <c r="O28" s="61"/>
    </row>
    <row r="29" s="2" customFormat="1" ht="18" customHeight="1" spans="1:15">
      <c r="A29" s="41"/>
      <c r="B29" s="36">
        <f t="shared" si="4"/>
        <v>0</v>
      </c>
      <c r="C29" s="42"/>
      <c r="D29" s="43"/>
      <c r="E29" s="40"/>
      <c r="F29" s="36">
        <f t="shared" si="5"/>
        <v>0</v>
      </c>
      <c r="G29" s="30"/>
      <c r="H29" s="44"/>
      <c r="I29" s="29"/>
      <c r="J29" s="59" t="s">
        <v>21</v>
      </c>
      <c r="K29" s="60" t="s">
        <v>39</v>
      </c>
      <c r="L29" s="61" t="s">
        <v>55</v>
      </c>
      <c r="M29" s="62"/>
      <c r="N29" s="62"/>
      <c r="O29" s="61"/>
    </row>
    <row r="30" s="2" customFormat="1" ht="18" customHeight="1" spans="1:15">
      <c r="A30" s="41">
        <v>43972</v>
      </c>
      <c r="B30" s="36">
        <f t="shared" si="4"/>
        <v>900000</v>
      </c>
      <c r="C30" s="42"/>
      <c r="D30" s="43" t="s">
        <v>37</v>
      </c>
      <c r="E30" s="40"/>
      <c r="F30" s="36">
        <f t="shared" si="5"/>
        <v>0</v>
      </c>
      <c r="G30" s="30">
        <v>900000</v>
      </c>
      <c r="H30" s="44"/>
      <c r="I30" s="29"/>
      <c r="J30" s="59"/>
      <c r="K30" s="60" t="s">
        <v>53</v>
      </c>
      <c r="L30" s="61" t="s">
        <v>54</v>
      </c>
      <c r="M30" s="62"/>
      <c r="N30" s="62"/>
      <c r="O30" s="61"/>
    </row>
    <row r="31" s="2" customFormat="1" ht="18" customHeight="1" spans="1:15">
      <c r="A31" s="41" t="s">
        <v>117</v>
      </c>
      <c r="B31" s="36">
        <f t="shared" si="4"/>
        <v>198320</v>
      </c>
      <c r="C31" s="42">
        <v>4</v>
      </c>
      <c r="D31" s="43" t="s">
        <v>56</v>
      </c>
      <c r="E31" s="40"/>
      <c r="F31" s="36">
        <f t="shared" si="5"/>
        <v>0</v>
      </c>
      <c r="G31" s="30">
        <v>198320</v>
      </c>
      <c r="H31" s="44">
        <v>43984</v>
      </c>
      <c r="I31" s="29">
        <v>198320</v>
      </c>
      <c r="J31" s="59" t="s">
        <v>57</v>
      </c>
      <c r="K31" s="60" t="s">
        <v>58</v>
      </c>
      <c r="L31" s="61" t="s">
        <v>110</v>
      </c>
      <c r="M31" s="62"/>
      <c r="N31" s="63" t="s">
        <v>114</v>
      </c>
      <c r="O31" s="61"/>
    </row>
    <row r="32" s="1" customFormat="1" ht="18" customHeight="1" spans="1:15">
      <c r="A32" s="35" t="s">
        <v>118</v>
      </c>
      <c r="B32" s="21">
        <f t="shared" si="4"/>
        <v>199640</v>
      </c>
      <c r="C32" s="39">
        <v>4</v>
      </c>
      <c r="D32" s="37" t="s">
        <v>108</v>
      </c>
      <c r="E32" s="38"/>
      <c r="F32" s="36">
        <f t="shared" si="5"/>
        <v>0</v>
      </c>
      <c r="G32" s="30">
        <f>49910*4</f>
        <v>199640</v>
      </c>
      <c r="H32" s="45"/>
      <c r="I32" s="65"/>
      <c r="J32" s="66"/>
      <c r="K32" s="67" t="s">
        <v>109</v>
      </c>
      <c r="L32" s="68" t="s">
        <v>110</v>
      </c>
      <c r="M32" s="56" t="s">
        <v>41</v>
      </c>
      <c r="N32" s="56" t="s">
        <v>41</v>
      </c>
      <c r="O32" s="55"/>
    </row>
    <row r="33" s="1" customFormat="1" ht="18" customHeight="1" spans="1:15">
      <c r="A33" s="35"/>
      <c r="B33" s="21">
        <f t="shared" si="4"/>
        <v>0</v>
      </c>
      <c r="C33" s="39"/>
      <c r="D33" s="37"/>
      <c r="E33" s="38"/>
      <c r="F33" s="36">
        <f t="shared" si="5"/>
        <v>0</v>
      </c>
      <c r="G33" s="30"/>
      <c r="H33" s="45">
        <v>44020</v>
      </c>
      <c r="I33" s="65">
        <v>49910</v>
      </c>
      <c r="J33" s="66" t="s">
        <v>57</v>
      </c>
      <c r="K33" s="67" t="s">
        <v>111</v>
      </c>
      <c r="L33" s="68"/>
      <c r="M33" s="56"/>
      <c r="N33" s="69"/>
      <c r="O33" s="55"/>
    </row>
    <row r="34" s="1" customFormat="1" ht="18" customHeight="1" spans="1:15">
      <c r="A34" s="35"/>
      <c r="B34" s="21">
        <f t="shared" si="4"/>
        <v>0</v>
      </c>
      <c r="C34" s="39"/>
      <c r="D34" s="37"/>
      <c r="E34" s="38"/>
      <c r="F34" s="36">
        <f t="shared" si="5"/>
        <v>0</v>
      </c>
      <c r="G34" s="30"/>
      <c r="H34" s="45">
        <v>44020</v>
      </c>
      <c r="I34" s="65">
        <v>49910</v>
      </c>
      <c r="J34" s="66" t="s">
        <v>57</v>
      </c>
      <c r="K34" s="67" t="s">
        <v>112</v>
      </c>
      <c r="L34" s="68"/>
      <c r="M34" s="56"/>
      <c r="N34" s="69"/>
      <c r="O34" s="55"/>
    </row>
    <row r="35" s="1" customFormat="1" ht="18" customHeight="1" spans="5:15">
      <c r="E35" s="38"/>
      <c r="F35" s="36">
        <f t="shared" si="5"/>
        <v>0</v>
      </c>
      <c r="G35" s="30"/>
      <c r="H35" s="44">
        <v>44050</v>
      </c>
      <c r="I35" s="29">
        <v>49910</v>
      </c>
      <c r="J35" s="59" t="s">
        <v>57</v>
      </c>
      <c r="K35" s="60" t="s">
        <v>115</v>
      </c>
      <c r="L35" s="68"/>
      <c r="M35" s="56"/>
      <c r="N35" s="69"/>
      <c r="O35" s="55"/>
    </row>
    <row r="36" s="1" customFormat="1" ht="18" customHeight="1" spans="1:15">
      <c r="A36" s="41" t="s">
        <v>119</v>
      </c>
      <c r="B36" s="36">
        <f>ROUND(G36/(1+E36),2)</f>
        <v>199640</v>
      </c>
      <c r="C36" s="42">
        <v>4</v>
      </c>
      <c r="D36" s="43" t="s">
        <v>108</v>
      </c>
      <c r="E36" s="38"/>
      <c r="F36" s="36">
        <f t="shared" si="5"/>
        <v>0</v>
      </c>
      <c r="G36" s="30">
        <v>199640</v>
      </c>
      <c r="H36" s="44"/>
      <c r="I36" s="29"/>
      <c r="J36" s="59"/>
      <c r="K36" s="60" t="s">
        <v>109</v>
      </c>
      <c r="L36" s="68" t="s">
        <v>120</v>
      </c>
      <c r="M36" s="56"/>
      <c r="N36" s="56" t="s">
        <v>114</v>
      </c>
      <c r="O36" s="55"/>
    </row>
    <row r="37" s="1" customFormat="1" ht="18" customHeight="1" spans="1:15">
      <c r="A37" s="41" t="s">
        <v>121</v>
      </c>
      <c r="B37" s="36">
        <f>ROUND(G37/(1+E37),2)</f>
        <v>199640</v>
      </c>
      <c r="C37" s="42">
        <v>4</v>
      </c>
      <c r="D37" s="43" t="s">
        <v>108</v>
      </c>
      <c r="E37" s="38"/>
      <c r="F37" s="36">
        <f t="shared" si="5"/>
        <v>0</v>
      </c>
      <c r="G37" s="30">
        <v>199640</v>
      </c>
      <c r="H37" s="44"/>
      <c r="I37" s="29"/>
      <c r="J37" s="59"/>
      <c r="K37" s="60" t="s">
        <v>109</v>
      </c>
      <c r="L37" s="68" t="s">
        <v>120</v>
      </c>
      <c r="M37" s="56"/>
      <c r="N37" s="56" t="s">
        <v>114</v>
      </c>
      <c r="O37" s="55"/>
    </row>
    <row r="38" s="1" customFormat="1" ht="18" customHeight="1" spans="1:15">
      <c r="A38" s="41" t="s">
        <v>122</v>
      </c>
      <c r="B38" s="36">
        <v>199640</v>
      </c>
      <c r="C38" s="42">
        <v>4</v>
      </c>
      <c r="D38" s="43" t="s">
        <v>108</v>
      </c>
      <c r="E38" s="38"/>
      <c r="F38" s="36">
        <f t="shared" si="5"/>
        <v>0</v>
      </c>
      <c r="G38" s="30">
        <v>199640</v>
      </c>
      <c r="H38" s="44"/>
      <c r="I38" s="29"/>
      <c r="J38" s="59"/>
      <c r="K38" s="60" t="s">
        <v>109</v>
      </c>
      <c r="L38" s="68" t="s">
        <v>120</v>
      </c>
      <c r="M38" s="56"/>
      <c r="N38" s="56" t="s">
        <v>114</v>
      </c>
      <c r="O38" s="55"/>
    </row>
    <row r="39" s="1" customFormat="1" ht="18" customHeight="1" spans="1:15">
      <c r="A39" s="35"/>
      <c r="B39" s="21"/>
      <c r="C39" s="39"/>
      <c r="D39" s="37"/>
      <c r="E39" s="38"/>
      <c r="F39" s="36"/>
      <c r="G39" s="30"/>
      <c r="H39" s="44">
        <v>44123</v>
      </c>
      <c r="I39" s="29">
        <v>149730</v>
      </c>
      <c r="J39" s="59"/>
      <c r="K39" s="60" t="s">
        <v>111</v>
      </c>
      <c r="L39" s="61"/>
      <c r="M39" s="62"/>
      <c r="N39" s="56"/>
      <c r="O39" s="55"/>
    </row>
    <row r="40" s="1" customFormat="1" ht="18" customHeight="1" spans="1:15">
      <c r="A40" s="35"/>
      <c r="B40" s="21"/>
      <c r="C40" s="39"/>
      <c r="D40" s="37"/>
      <c r="E40" s="38"/>
      <c r="F40" s="36"/>
      <c r="G40" s="30"/>
      <c r="H40" s="44">
        <v>44123</v>
      </c>
      <c r="I40" s="29">
        <v>199640</v>
      </c>
      <c r="J40" s="59"/>
      <c r="K40" s="60" t="s">
        <v>125</v>
      </c>
      <c r="L40" s="61"/>
      <c r="M40" s="62"/>
      <c r="N40" s="56"/>
      <c r="O40" s="55"/>
    </row>
    <row r="41" s="1" customFormat="1" ht="18" customHeight="1" spans="1:15">
      <c r="A41" s="35"/>
      <c r="B41" s="21"/>
      <c r="C41" s="39"/>
      <c r="D41" s="37"/>
      <c r="E41" s="38"/>
      <c r="F41" s="36"/>
      <c r="G41" s="30"/>
      <c r="H41" s="44">
        <v>44123</v>
      </c>
      <c r="I41" s="29">
        <v>149730</v>
      </c>
      <c r="J41" s="59"/>
      <c r="K41" s="60" t="s">
        <v>115</v>
      </c>
      <c r="L41" s="61"/>
      <c r="M41" s="62"/>
      <c r="N41" s="56"/>
      <c r="O41" s="55"/>
    </row>
    <row r="42" s="1" customFormat="1" ht="18" customHeight="1" spans="1:15">
      <c r="A42" s="35"/>
      <c r="B42" s="21"/>
      <c r="C42" s="39"/>
      <c r="D42" s="37"/>
      <c r="E42" s="38"/>
      <c r="F42" s="36"/>
      <c r="G42" s="30"/>
      <c r="H42" s="44">
        <v>44123</v>
      </c>
      <c r="I42" s="29">
        <v>149730</v>
      </c>
      <c r="J42" s="59"/>
      <c r="K42" s="60" t="s">
        <v>112</v>
      </c>
      <c r="L42" s="61"/>
      <c r="M42" s="62"/>
      <c r="N42" s="56"/>
      <c r="O42" s="55"/>
    </row>
    <row r="43" s="1" customFormat="1" ht="18" customHeight="1" spans="1:15">
      <c r="A43" s="35" t="s">
        <v>126</v>
      </c>
      <c r="B43" s="21">
        <f t="shared" ref="B43:B46" si="6">G43</f>
        <v>400000</v>
      </c>
      <c r="C43" s="39"/>
      <c r="D43" s="37" t="s">
        <v>37</v>
      </c>
      <c r="E43" s="38"/>
      <c r="F43" s="36"/>
      <c r="G43" s="30">
        <v>400000</v>
      </c>
      <c r="H43" s="44">
        <v>44123</v>
      </c>
      <c r="I43" s="29">
        <v>400000</v>
      </c>
      <c r="J43" s="59"/>
      <c r="K43" s="60" t="s">
        <v>53</v>
      </c>
      <c r="L43" s="61" t="s">
        <v>54</v>
      </c>
      <c r="M43" s="62"/>
      <c r="N43" s="56"/>
      <c r="O43" s="55"/>
    </row>
    <row r="44" s="1" customFormat="1" ht="18" customHeight="1" spans="1:15">
      <c r="A44" s="35"/>
      <c r="B44" s="21">
        <f t="shared" si="6"/>
        <v>0</v>
      </c>
      <c r="C44" s="39"/>
      <c r="D44" s="37"/>
      <c r="E44" s="38"/>
      <c r="F44" s="36"/>
      <c r="G44" s="30"/>
      <c r="H44" s="44">
        <v>44123</v>
      </c>
      <c r="I44" s="29">
        <v>200000</v>
      </c>
      <c r="J44" s="59"/>
      <c r="K44" s="60" t="s">
        <v>39</v>
      </c>
      <c r="L44" s="61" t="s">
        <v>55</v>
      </c>
      <c r="M44" s="62"/>
      <c r="N44" s="56"/>
      <c r="O44" s="55"/>
    </row>
    <row r="45" s="1" customFormat="1" ht="18" customHeight="1" spans="1:15">
      <c r="A45" s="35" t="s">
        <v>132</v>
      </c>
      <c r="B45" s="21">
        <f t="shared" si="6"/>
        <v>149730</v>
      </c>
      <c r="C45" s="39">
        <v>3</v>
      </c>
      <c r="D45" s="37" t="s">
        <v>37</v>
      </c>
      <c r="E45" s="38"/>
      <c r="F45" s="36"/>
      <c r="G45" s="30">
        <v>149730</v>
      </c>
      <c r="H45" s="44"/>
      <c r="I45" s="29"/>
      <c r="J45" s="59"/>
      <c r="K45" s="60" t="s">
        <v>133</v>
      </c>
      <c r="L45" s="61" t="s">
        <v>134</v>
      </c>
      <c r="M45" s="62"/>
      <c r="N45" s="56"/>
      <c r="O45" s="55"/>
    </row>
    <row r="46" s="1" customFormat="1" ht="18" customHeight="1" spans="1:15">
      <c r="A46" s="35" t="s">
        <v>135</v>
      </c>
      <c r="B46" s="21">
        <f t="shared" si="6"/>
        <v>362880</v>
      </c>
      <c r="C46" s="39">
        <v>1</v>
      </c>
      <c r="D46" s="37" t="s">
        <v>37</v>
      </c>
      <c r="E46" s="38"/>
      <c r="F46" s="36"/>
      <c r="G46" s="30">
        <v>362880</v>
      </c>
      <c r="H46" s="44">
        <v>44140</v>
      </c>
      <c r="I46" s="29">
        <v>362880</v>
      </c>
      <c r="J46" s="59" t="s">
        <v>22</v>
      </c>
      <c r="K46" s="60" t="s">
        <v>53</v>
      </c>
      <c r="L46" s="60" t="s">
        <v>136</v>
      </c>
      <c r="M46" s="62"/>
      <c r="N46" s="56"/>
      <c r="O46" s="55"/>
    </row>
    <row r="47" s="2" customFormat="1" ht="18" customHeight="1" spans="1:15">
      <c r="A47" s="41" t="s">
        <v>138</v>
      </c>
      <c r="B47" s="21">
        <f t="shared" ref="B47:B55" si="7">G47</f>
        <v>49910</v>
      </c>
      <c r="C47" s="42">
        <v>1</v>
      </c>
      <c r="D47" s="43" t="s">
        <v>139</v>
      </c>
      <c r="E47" s="114"/>
      <c r="F47" s="36"/>
      <c r="G47" s="30">
        <v>49910</v>
      </c>
      <c r="H47" s="44">
        <v>44146</v>
      </c>
      <c r="I47" s="29">
        <v>49910</v>
      </c>
      <c r="J47" s="59" t="s">
        <v>21</v>
      </c>
      <c r="K47" s="60" t="s">
        <v>111</v>
      </c>
      <c r="L47" s="61" t="s">
        <v>140</v>
      </c>
      <c r="M47" s="62"/>
      <c r="N47" s="62"/>
      <c r="O47" s="61"/>
    </row>
    <row r="48" s="2" customFormat="1" ht="18" customHeight="1" spans="1:15">
      <c r="A48" s="41" t="s">
        <v>138</v>
      </c>
      <c r="B48" s="21">
        <f t="shared" si="7"/>
        <v>49910</v>
      </c>
      <c r="C48" s="39">
        <v>1</v>
      </c>
      <c r="D48" s="43" t="s">
        <v>139</v>
      </c>
      <c r="E48" s="114"/>
      <c r="F48" s="36"/>
      <c r="G48" s="30">
        <v>49910</v>
      </c>
      <c r="H48" s="44">
        <v>44146</v>
      </c>
      <c r="I48" s="29">
        <v>49910</v>
      </c>
      <c r="J48" s="59" t="s">
        <v>21</v>
      </c>
      <c r="K48" s="60" t="s">
        <v>115</v>
      </c>
      <c r="L48" s="61" t="s">
        <v>141</v>
      </c>
      <c r="M48" s="62"/>
      <c r="N48" s="62"/>
      <c r="O48" s="61"/>
    </row>
    <row r="49" s="2" customFormat="1" ht="18" customHeight="1" spans="1:15">
      <c r="A49" s="41" t="s">
        <v>138</v>
      </c>
      <c r="B49" s="21">
        <f t="shared" si="7"/>
        <v>49910</v>
      </c>
      <c r="C49" s="42">
        <v>1</v>
      </c>
      <c r="D49" s="43" t="s">
        <v>139</v>
      </c>
      <c r="E49" s="114"/>
      <c r="F49" s="36"/>
      <c r="G49" s="30">
        <v>49910</v>
      </c>
      <c r="H49" s="44">
        <v>44146</v>
      </c>
      <c r="I49" s="29">
        <v>49910</v>
      </c>
      <c r="J49" s="59" t="s">
        <v>21</v>
      </c>
      <c r="K49" s="60" t="s">
        <v>112</v>
      </c>
      <c r="L49" s="61" t="s">
        <v>141</v>
      </c>
      <c r="M49" s="62"/>
      <c r="N49" s="62"/>
      <c r="O49" s="61"/>
    </row>
    <row r="50" s="2" customFormat="1" ht="18" customHeight="1" spans="1:15">
      <c r="A50" s="41" t="s">
        <v>138</v>
      </c>
      <c r="B50" s="21">
        <f t="shared" si="7"/>
        <v>49910</v>
      </c>
      <c r="C50" s="39">
        <v>1</v>
      </c>
      <c r="D50" s="43" t="s">
        <v>139</v>
      </c>
      <c r="E50" s="114"/>
      <c r="F50" s="36"/>
      <c r="G50" s="30">
        <v>49910</v>
      </c>
      <c r="H50" s="44"/>
      <c r="I50" s="29"/>
      <c r="J50" s="59"/>
      <c r="K50" s="60" t="s">
        <v>125</v>
      </c>
      <c r="L50" s="61" t="s">
        <v>141</v>
      </c>
      <c r="M50" s="62"/>
      <c r="N50" s="62"/>
      <c r="O50" s="61"/>
    </row>
    <row r="51" s="2" customFormat="1" ht="18" customHeight="1" spans="1:15">
      <c r="A51" s="41" t="s">
        <v>138</v>
      </c>
      <c r="B51" s="21">
        <f t="shared" si="7"/>
        <v>50000</v>
      </c>
      <c r="C51" s="42">
        <v>1</v>
      </c>
      <c r="D51" s="43" t="s">
        <v>139</v>
      </c>
      <c r="E51" s="114"/>
      <c r="F51" s="36"/>
      <c r="G51" s="30">
        <v>50000</v>
      </c>
      <c r="H51" s="44"/>
      <c r="I51" s="29"/>
      <c r="J51" s="59"/>
      <c r="K51" s="60" t="s">
        <v>142</v>
      </c>
      <c r="L51" s="61" t="s">
        <v>143</v>
      </c>
      <c r="M51" s="62"/>
      <c r="N51" s="62"/>
      <c r="O51" s="61"/>
    </row>
    <row r="52" s="2" customFormat="1" ht="18" customHeight="1" spans="1:15">
      <c r="A52" s="41" t="s">
        <v>138</v>
      </c>
      <c r="B52" s="21">
        <f t="shared" si="7"/>
        <v>50000</v>
      </c>
      <c r="C52" s="39">
        <v>1</v>
      </c>
      <c r="D52" s="43" t="s">
        <v>139</v>
      </c>
      <c r="E52" s="114"/>
      <c r="F52" s="36"/>
      <c r="G52" s="30">
        <v>50000</v>
      </c>
      <c r="H52" s="44"/>
      <c r="I52" s="29"/>
      <c r="J52" s="59"/>
      <c r="K52" s="60" t="s">
        <v>144</v>
      </c>
      <c r="L52" s="61" t="s">
        <v>143</v>
      </c>
      <c r="M52" s="62"/>
      <c r="N52" s="62"/>
      <c r="O52" s="61"/>
    </row>
    <row r="53" s="2" customFormat="1" ht="18" customHeight="1" spans="1:15">
      <c r="A53" s="41" t="s">
        <v>138</v>
      </c>
      <c r="B53" s="21">
        <f t="shared" si="7"/>
        <v>50000</v>
      </c>
      <c r="C53" s="42">
        <v>1</v>
      </c>
      <c r="D53" s="43" t="s">
        <v>139</v>
      </c>
      <c r="E53" s="114"/>
      <c r="F53" s="36"/>
      <c r="G53" s="30">
        <v>50000</v>
      </c>
      <c r="H53" s="44"/>
      <c r="I53" s="29"/>
      <c r="J53" s="59"/>
      <c r="K53" s="60" t="s">
        <v>145</v>
      </c>
      <c r="L53" s="61" t="s">
        <v>140</v>
      </c>
      <c r="M53" s="62"/>
      <c r="N53" s="62"/>
      <c r="O53" s="61"/>
    </row>
    <row r="54" s="2" customFormat="1" ht="18" customHeight="1" spans="1:15">
      <c r="A54" s="41" t="s">
        <v>138</v>
      </c>
      <c r="B54" s="21">
        <f t="shared" si="7"/>
        <v>50000</v>
      </c>
      <c r="C54" s="39">
        <v>1</v>
      </c>
      <c r="D54" s="43" t="s">
        <v>139</v>
      </c>
      <c r="E54" s="114"/>
      <c r="F54" s="36"/>
      <c r="G54" s="30">
        <v>50000</v>
      </c>
      <c r="H54" s="44"/>
      <c r="I54" s="29"/>
      <c r="J54" s="59"/>
      <c r="K54" s="60" t="s">
        <v>111</v>
      </c>
      <c r="L54" s="61" t="s">
        <v>143</v>
      </c>
      <c r="M54" s="62"/>
      <c r="N54" s="62"/>
      <c r="O54" s="61"/>
    </row>
    <row r="55" s="2" customFormat="1" ht="18" customHeight="1" spans="1:15">
      <c r="A55" s="41" t="s">
        <v>146</v>
      </c>
      <c r="B55" s="21">
        <f t="shared" si="7"/>
        <v>49910</v>
      </c>
      <c r="C55" s="42">
        <v>1</v>
      </c>
      <c r="D55" s="43" t="s">
        <v>139</v>
      </c>
      <c r="E55" s="114"/>
      <c r="F55" s="36"/>
      <c r="G55" s="30">
        <v>49910</v>
      </c>
      <c r="H55" s="44"/>
      <c r="I55" s="29"/>
      <c r="J55" s="59"/>
      <c r="K55" s="60" t="s">
        <v>125</v>
      </c>
      <c r="L55" s="61" t="s">
        <v>141</v>
      </c>
      <c r="M55" s="62"/>
      <c r="N55" s="62"/>
      <c r="O55" s="61"/>
    </row>
    <row r="56" s="2" customFormat="1" ht="18" customHeight="1" spans="1:15">
      <c r="A56" s="41"/>
      <c r="B56" s="36"/>
      <c r="C56" s="42"/>
      <c r="D56" s="43"/>
      <c r="E56" s="114"/>
      <c r="F56" s="36"/>
      <c r="G56" s="36"/>
      <c r="H56" s="44"/>
      <c r="I56" s="29"/>
      <c r="J56" s="59"/>
      <c r="K56" s="60"/>
      <c r="L56" s="61"/>
      <c r="M56" s="62"/>
      <c r="N56" s="62"/>
      <c r="O56" s="61"/>
    </row>
    <row r="57" s="2" customFormat="1" ht="18" customHeight="1" spans="1:15">
      <c r="A57" s="41"/>
      <c r="B57" s="36"/>
      <c r="C57" s="42"/>
      <c r="D57" s="43"/>
      <c r="E57" s="114"/>
      <c r="F57" s="36"/>
      <c r="G57" s="36"/>
      <c r="H57" s="44"/>
      <c r="I57" s="29"/>
      <c r="J57" s="59"/>
      <c r="K57" s="60"/>
      <c r="L57" s="61"/>
      <c r="M57" s="62"/>
      <c r="N57" s="62"/>
      <c r="O57" s="61"/>
    </row>
    <row r="58" s="2" customFormat="1" ht="18" customHeight="1" spans="1:15">
      <c r="A58" s="41"/>
      <c r="B58" s="36"/>
      <c r="C58" s="42"/>
      <c r="D58" s="43"/>
      <c r="E58" s="114"/>
      <c r="F58" s="36"/>
      <c r="G58" s="36"/>
      <c r="H58" s="44"/>
      <c r="I58" s="29"/>
      <c r="J58" s="59"/>
      <c r="K58" s="60"/>
      <c r="L58" s="61"/>
      <c r="M58" s="62"/>
      <c r="N58" s="62"/>
      <c r="O58" s="61"/>
    </row>
    <row r="59" s="2" customFormat="1" ht="18" customHeight="1" spans="1:15">
      <c r="A59" s="41"/>
      <c r="B59" s="36"/>
      <c r="C59" s="42"/>
      <c r="D59" s="43"/>
      <c r="E59" s="114"/>
      <c r="F59" s="36"/>
      <c r="G59" s="36"/>
      <c r="H59" s="44"/>
      <c r="I59" s="29"/>
      <c r="J59" s="59"/>
      <c r="K59" s="60"/>
      <c r="L59" s="61"/>
      <c r="M59" s="62"/>
      <c r="N59" s="62"/>
      <c r="O59" s="61"/>
    </row>
    <row r="60" s="2" customFormat="1" ht="18" customHeight="1" spans="1:15">
      <c r="A60" s="41"/>
      <c r="B60" s="36"/>
      <c r="C60" s="42"/>
      <c r="D60" s="43"/>
      <c r="E60" s="114"/>
      <c r="F60" s="36"/>
      <c r="G60" s="36"/>
      <c r="H60" s="44"/>
      <c r="I60" s="29"/>
      <c r="J60" s="59"/>
      <c r="K60" s="60"/>
      <c r="L60" s="61"/>
      <c r="M60" s="62"/>
      <c r="N60" s="62"/>
      <c r="O60" s="61"/>
    </row>
    <row r="61" s="2" customFormat="1" ht="18" customHeight="1" spans="1:15">
      <c r="A61" s="41"/>
      <c r="B61" s="36"/>
      <c r="C61" s="42"/>
      <c r="D61" s="43"/>
      <c r="E61" s="114"/>
      <c r="F61" s="36"/>
      <c r="G61" s="36"/>
      <c r="H61" s="44"/>
      <c r="I61" s="29"/>
      <c r="J61" s="59"/>
      <c r="K61" s="60"/>
      <c r="L61" s="61"/>
      <c r="M61" s="62"/>
      <c r="N61" s="62"/>
      <c r="O61" s="61"/>
    </row>
    <row r="62" s="2" customFormat="1" ht="18" customHeight="1" spans="1:15">
      <c r="A62" s="41"/>
      <c r="B62" s="36"/>
      <c r="C62" s="42"/>
      <c r="D62" s="43"/>
      <c r="E62" s="114"/>
      <c r="F62" s="36"/>
      <c r="G62" s="36"/>
      <c r="H62" s="44"/>
      <c r="I62" s="29"/>
      <c r="J62" s="59"/>
      <c r="K62" s="60"/>
      <c r="L62" s="61"/>
      <c r="M62" s="62"/>
      <c r="N62" s="62"/>
      <c r="O62" s="61"/>
    </row>
    <row r="63" s="2" customFormat="1" ht="18" customHeight="1" spans="1:15">
      <c r="A63" s="41"/>
      <c r="B63" s="36"/>
      <c r="C63" s="42"/>
      <c r="D63" s="43"/>
      <c r="E63" s="114"/>
      <c r="F63" s="36"/>
      <c r="G63" s="36"/>
      <c r="H63" s="44"/>
      <c r="I63" s="29"/>
      <c r="J63" s="59"/>
      <c r="K63" s="60"/>
      <c r="L63" s="61"/>
      <c r="M63" s="62"/>
      <c r="N63" s="62"/>
      <c r="O63" s="61"/>
    </row>
    <row r="64" s="2" customFormat="1" ht="18" customHeight="1" spans="1:15">
      <c r="A64" s="41"/>
      <c r="B64" s="36"/>
      <c r="C64" s="42"/>
      <c r="D64" s="43"/>
      <c r="E64" s="114"/>
      <c r="F64" s="36"/>
      <c r="G64" s="36"/>
      <c r="H64" s="44"/>
      <c r="I64" s="29"/>
      <c r="J64" s="59"/>
      <c r="K64" s="60"/>
      <c r="L64" s="61"/>
      <c r="M64" s="62"/>
      <c r="N64" s="62"/>
      <c r="O64" s="61"/>
    </row>
    <row r="65" s="2" customFormat="1" ht="18" customHeight="1" spans="1:15">
      <c r="A65" s="41"/>
      <c r="B65" s="36"/>
      <c r="C65" s="42"/>
      <c r="D65" s="43"/>
      <c r="E65" s="114"/>
      <c r="F65" s="36"/>
      <c r="G65" s="36"/>
      <c r="H65" s="44"/>
      <c r="I65" s="29"/>
      <c r="J65" s="59"/>
      <c r="K65" s="60"/>
      <c r="L65" s="61"/>
      <c r="M65" s="62"/>
      <c r="N65" s="62"/>
      <c r="O65" s="61"/>
    </row>
    <row r="66" s="2" customFormat="1" ht="18" customHeight="1" spans="1:15">
      <c r="A66" s="41"/>
      <c r="B66" s="36"/>
      <c r="C66" s="42"/>
      <c r="D66" s="43"/>
      <c r="E66" s="114"/>
      <c r="F66" s="36"/>
      <c r="G66" s="36"/>
      <c r="H66" s="44"/>
      <c r="I66" s="29"/>
      <c r="J66" s="59"/>
      <c r="K66" s="60"/>
      <c r="L66" s="61"/>
      <c r="M66" s="62"/>
      <c r="N66" s="62"/>
      <c r="O66" s="61"/>
    </row>
    <row r="67" s="2" customFormat="1" ht="18" customHeight="1" spans="1:15">
      <c r="A67" s="41"/>
      <c r="B67" s="36"/>
      <c r="C67" s="42"/>
      <c r="D67" s="43"/>
      <c r="E67" s="114"/>
      <c r="F67" s="36"/>
      <c r="G67" s="36"/>
      <c r="H67" s="44">
        <v>44146</v>
      </c>
      <c r="I67" s="29">
        <v>300</v>
      </c>
      <c r="J67" s="62" t="s">
        <v>59</v>
      </c>
      <c r="K67" s="60" t="s">
        <v>60</v>
      </c>
      <c r="L67" s="61"/>
      <c r="M67" s="62"/>
      <c r="N67" s="62"/>
      <c r="O67" s="61"/>
    </row>
    <row r="68" s="2" customFormat="1" ht="18" customHeight="1" spans="1:15">
      <c r="A68" s="41"/>
      <c r="B68" s="36"/>
      <c r="C68" s="42"/>
      <c r="D68" s="43"/>
      <c r="E68" s="114"/>
      <c r="F68" s="36"/>
      <c r="G68" s="36"/>
      <c r="H68" s="44">
        <v>44146</v>
      </c>
      <c r="I68" s="29">
        <v>2544</v>
      </c>
      <c r="J68" s="62" t="s">
        <v>59</v>
      </c>
      <c r="K68" s="60" t="s">
        <v>137</v>
      </c>
      <c r="L68" s="61"/>
      <c r="M68" s="62"/>
      <c r="N68" s="62"/>
      <c r="O68" s="61"/>
    </row>
    <row r="69" s="1" customFormat="1" ht="18" customHeight="1" spans="1:15">
      <c r="A69" s="35"/>
      <c r="B69" s="21"/>
      <c r="C69" s="39"/>
      <c r="D69" s="37"/>
      <c r="E69" s="38"/>
      <c r="F69" s="36"/>
      <c r="G69" s="30"/>
      <c r="H69" s="44">
        <v>44140</v>
      </c>
      <c r="I69" s="29">
        <v>100</v>
      </c>
      <c r="J69" s="62" t="s">
        <v>59</v>
      </c>
      <c r="K69" s="60" t="s">
        <v>60</v>
      </c>
      <c r="L69" s="61"/>
      <c r="M69" s="62"/>
      <c r="N69" s="56"/>
      <c r="O69" s="55"/>
    </row>
    <row r="70" s="1" customFormat="1" ht="18" customHeight="1" spans="1:15">
      <c r="A70" s="35"/>
      <c r="B70" s="21"/>
      <c r="C70" s="39"/>
      <c r="D70" s="37"/>
      <c r="E70" s="38"/>
      <c r="F70" s="36"/>
      <c r="G70" s="30"/>
      <c r="H70" s="44" t="s">
        <v>127</v>
      </c>
      <c r="I70" s="36">
        <v>600</v>
      </c>
      <c r="J70" s="62" t="s">
        <v>59</v>
      </c>
      <c r="K70" s="60" t="s">
        <v>60</v>
      </c>
      <c r="L70" s="61"/>
      <c r="M70" s="62"/>
      <c r="N70" s="56"/>
      <c r="O70" s="55"/>
    </row>
    <row r="71" s="1" customFormat="1" ht="18" customHeight="1" spans="1:15">
      <c r="A71" s="35"/>
      <c r="B71" s="21"/>
      <c r="C71" s="39"/>
      <c r="D71" s="37"/>
      <c r="E71" s="38"/>
      <c r="F71" s="36"/>
      <c r="G71" s="30"/>
      <c r="H71" s="44" t="s">
        <v>127</v>
      </c>
      <c r="I71" s="102">
        <v>7500</v>
      </c>
      <c r="J71" s="62" t="s">
        <v>59</v>
      </c>
      <c r="K71" s="103" t="s">
        <v>128</v>
      </c>
      <c r="L71" s="61"/>
      <c r="M71" s="62"/>
      <c r="N71" s="56"/>
      <c r="O71" s="55"/>
    </row>
    <row r="72" s="1" customFormat="1" ht="18" customHeight="1" spans="1:15">
      <c r="A72" s="35"/>
      <c r="B72" s="21"/>
      <c r="C72" s="39"/>
      <c r="D72" s="37"/>
      <c r="E72" s="38"/>
      <c r="F72" s="36"/>
      <c r="G72" s="30"/>
      <c r="H72" s="44" t="s">
        <v>127</v>
      </c>
      <c r="I72" s="29">
        <v>36346</v>
      </c>
      <c r="J72" s="59" t="s">
        <v>59</v>
      </c>
      <c r="K72" s="60" t="s">
        <v>129</v>
      </c>
      <c r="L72" s="61"/>
      <c r="M72" s="62"/>
      <c r="N72" s="56"/>
      <c r="O72" s="55"/>
    </row>
    <row r="73" s="1" customFormat="1" ht="18" customHeight="1" spans="1:15">
      <c r="A73" s="35"/>
      <c r="B73" s="21">
        <f t="shared" ref="B73:B102" si="8">ROUND(G73/(1+E73),2)</f>
        <v>0</v>
      </c>
      <c r="C73" s="39"/>
      <c r="D73" s="37"/>
      <c r="E73" s="38"/>
      <c r="F73" s="36">
        <f t="shared" ref="F73:F102" si="9">ROUND(G73/(1+E73)*E73,2)</f>
        <v>0</v>
      </c>
      <c r="G73" s="30"/>
      <c r="H73" s="44" t="s">
        <v>127</v>
      </c>
      <c r="I73" s="29">
        <v>1000</v>
      </c>
      <c r="J73" s="59" t="s">
        <v>59</v>
      </c>
      <c r="K73" s="60" t="s">
        <v>130</v>
      </c>
      <c r="L73" s="61"/>
      <c r="M73" s="62"/>
      <c r="N73" s="56"/>
      <c r="O73" s="55"/>
    </row>
    <row r="74" s="1" customFormat="1" ht="18" customHeight="1" spans="1:15">
      <c r="A74" s="35"/>
      <c r="B74" s="21">
        <f t="shared" si="8"/>
        <v>0</v>
      </c>
      <c r="C74" s="39"/>
      <c r="D74" s="37"/>
      <c r="E74" s="38"/>
      <c r="F74" s="36">
        <f t="shared" si="9"/>
        <v>0</v>
      </c>
      <c r="G74" s="30"/>
      <c r="H74" s="44" t="s">
        <v>116</v>
      </c>
      <c r="I74" s="29">
        <v>50</v>
      </c>
      <c r="J74" s="59" t="s">
        <v>59</v>
      </c>
      <c r="K74" s="60" t="s">
        <v>60</v>
      </c>
      <c r="L74" s="61"/>
      <c r="M74" s="62"/>
      <c r="N74" s="56"/>
      <c r="O74" s="55"/>
    </row>
    <row r="75" s="1" customFormat="1" ht="18" customHeight="1" spans="1:15">
      <c r="A75" s="35"/>
      <c r="B75" s="21">
        <f t="shared" si="8"/>
        <v>0</v>
      </c>
      <c r="C75" s="39"/>
      <c r="D75" s="37"/>
      <c r="E75" s="38"/>
      <c r="F75" s="36">
        <f t="shared" si="9"/>
        <v>0</v>
      </c>
      <c r="G75" s="30"/>
      <c r="H75" s="44" t="s">
        <v>113</v>
      </c>
      <c r="I75" s="29">
        <v>100</v>
      </c>
      <c r="J75" s="59" t="s">
        <v>59</v>
      </c>
      <c r="K75" s="60" t="s">
        <v>60</v>
      </c>
      <c r="L75" s="61"/>
      <c r="M75" s="62"/>
      <c r="N75" s="56"/>
      <c r="O75" s="55"/>
    </row>
    <row r="76" s="1" customFormat="1" ht="18" customHeight="1" spans="1:15">
      <c r="A76" s="35"/>
      <c r="B76" s="21">
        <f t="shared" si="8"/>
        <v>0</v>
      </c>
      <c r="C76" s="39"/>
      <c r="D76" s="37"/>
      <c r="E76" s="38"/>
      <c r="F76" s="36">
        <f t="shared" si="9"/>
        <v>0</v>
      </c>
      <c r="G76" s="30"/>
      <c r="H76" s="44">
        <v>43984</v>
      </c>
      <c r="I76" s="29">
        <v>200</v>
      </c>
      <c r="J76" s="59" t="s">
        <v>59</v>
      </c>
      <c r="K76" s="60" t="s">
        <v>60</v>
      </c>
      <c r="L76" s="61"/>
      <c r="M76" s="62"/>
      <c r="N76" s="56"/>
      <c r="O76" s="55"/>
    </row>
    <row r="77" s="1" customFormat="1" ht="18" customHeight="1" spans="1:15">
      <c r="A77" s="35"/>
      <c r="B77" s="21">
        <f t="shared" si="8"/>
        <v>0</v>
      </c>
      <c r="C77" s="39"/>
      <c r="D77" s="37"/>
      <c r="E77" s="38"/>
      <c r="F77" s="36">
        <f t="shared" si="9"/>
        <v>0</v>
      </c>
      <c r="G77" s="30"/>
      <c r="H77" s="44">
        <v>43984</v>
      </c>
      <c r="I77" s="29">
        <f>-(I88+I85+I81)</f>
        <v>-178666.95</v>
      </c>
      <c r="J77" s="59" t="s">
        <v>61</v>
      </c>
      <c r="K77" s="64" t="s">
        <v>62</v>
      </c>
      <c r="L77" s="55"/>
      <c r="M77" s="56"/>
      <c r="N77" s="56"/>
      <c r="O77" s="55"/>
    </row>
    <row r="78" s="1" customFormat="1" ht="18" customHeight="1" spans="1:15">
      <c r="A78" s="35"/>
      <c r="B78" s="21">
        <f t="shared" si="8"/>
        <v>0</v>
      </c>
      <c r="C78" s="39"/>
      <c r="D78" s="37"/>
      <c r="E78" s="38"/>
      <c r="F78" s="36">
        <f t="shared" si="9"/>
        <v>0</v>
      </c>
      <c r="G78" s="30"/>
      <c r="H78" s="44">
        <v>43984</v>
      </c>
      <c r="I78" s="29">
        <v>22048</v>
      </c>
      <c r="J78" s="59" t="s">
        <v>59</v>
      </c>
      <c r="K78" s="64" t="s">
        <v>63</v>
      </c>
      <c r="L78" s="55"/>
      <c r="M78" s="56"/>
      <c r="N78" s="56"/>
      <c r="O78" s="55"/>
    </row>
    <row r="79" s="1" customFormat="1" ht="18" customHeight="1" spans="1:15">
      <c r="A79" s="35"/>
      <c r="B79" s="21">
        <f t="shared" si="8"/>
        <v>0</v>
      </c>
      <c r="C79" s="39"/>
      <c r="D79" s="37"/>
      <c r="E79" s="38"/>
      <c r="F79" s="36">
        <f t="shared" si="9"/>
        <v>0</v>
      </c>
      <c r="G79" s="30"/>
      <c r="H79" s="26">
        <v>43972</v>
      </c>
      <c r="I79" s="27">
        <v>100</v>
      </c>
      <c r="J79" s="51" t="s">
        <v>59</v>
      </c>
      <c r="K79" s="54" t="s">
        <v>60</v>
      </c>
      <c r="L79" s="55"/>
      <c r="M79" s="56"/>
      <c r="N79" s="56"/>
      <c r="O79" s="55"/>
    </row>
    <row r="80" s="1" customFormat="1" ht="18" customHeight="1" spans="1:15">
      <c r="A80" s="35"/>
      <c r="B80" s="21">
        <f t="shared" si="8"/>
        <v>0</v>
      </c>
      <c r="C80" s="39"/>
      <c r="D80" s="37"/>
      <c r="E80" s="38"/>
      <c r="F80" s="36">
        <f t="shared" si="9"/>
        <v>0</v>
      </c>
      <c r="G80" s="30"/>
      <c r="H80" s="26">
        <v>43972</v>
      </c>
      <c r="I80" s="27">
        <v>9000</v>
      </c>
      <c r="J80" s="51" t="s">
        <v>59</v>
      </c>
      <c r="K80" s="54" t="s">
        <v>64</v>
      </c>
      <c r="L80" s="55"/>
      <c r="M80" s="56"/>
      <c r="N80" s="56"/>
      <c r="O80" s="55"/>
    </row>
    <row r="81" s="1" customFormat="1" ht="18" customHeight="1" spans="1:15">
      <c r="A81" s="35"/>
      <c r="B81" s="21">
        <f t="shared" si="8"/>
        <v>0</v>
      </c>
      <c r="C81" s="39"/>
      <c r="D81" s="37"/>
      <c r="E81" s="38"/>
      <c r="F81" s="36">
        <f t="shared" si="9"/>
        <v>0</v>
      </c>
      <c r="G81" s="30"/>
      <c r="H81" s="26">
        <v>43972</v>
      </c>
      <c r="I81" s="27">
        <v>156769.95</v>
      </c>
      <c r="J81" s="51" t="s">
        <v>65</v>
      </c>
      <c r="K81" s="54" t="s">
        <v>66</v>
      </c>
      <c r="L81" s="55"/>
      <c r="M81" s="56"/>
      <c r="N81" s="56"/>
      <c r="O81" s="55"/>
    </row>
    <row r="82" s="1" customFormat="1" ht="18" customHeight="1" spans="1:15">
      <c r="A82" s="35"/>
      <c r="B82" s="21">
        <f t="shared" si="8"/>
        <v>0</v>
      </c>
      <c r="C82" s="39"/>
      <c r="D82" s="37"/>
      <c r="E82" s="38"/>
      <c r="F82" s="36">
        <f t="shared" si="9"/>
        <v>0</v>
      </c>
      <c r="G82" s="30"/>
      <c r="H82" s="26">
        <v>43972</v>
      </c>
      <c r="I82" s="27">
        <f>K113</f>
        <v>665.513647706422</v>
      </c>
      <c r="J82" s="51" t="s">
        <v>59</v>
      </c>
      <c r="K82" s="54" t="s">
        <v>67</v>
      </c>
      <c r="L82" s="55"/>
      <c r="M82" s="56"/>
      <c r="N82" s="56"/>
      <c r="O82" s="55"/>
    </row>
    <row r="83" s="1" customFormat="1" ht="18" customHeight="1" spans="1:15">
      <c r="A83" s="35"/>
      <c r="B83" s="21">
        <f t="shared" si="8"/>
        <v>0</v>
      </c>
      <c r="C83" s="39"/>
      <c r="D83" s="37"/>
      <c r="E83" s="38"/>
      <c r="F83" s="36">
        <f t="shared" si="9"/>
        <v>0</v>
      </c>
      <c r="G83" s="30"/>
      <c r="H83" s="26">
        <v>43972</v>
      </c>
      <c r="I83" s="27">
        <f>B10*0.02</f>
        <v>22183.7882568807</v>
      </c>
      <c r="J83" s="51" t="s">
        <v>59</v>
      </c>
      <c r="K83" s="54" t="s">
        <v>68</v>
      </c>
      <c r="L83" s="55"/>
      <c r="M83" s="56"/>
      <c r="N83" s="56"/>
      <c r="O83" s="55"/>
    </row>
    <row r="84" s="1" customFormat="1" ht="18" customHeight="1" spans="1:15">
      <c r="A84" s="35"/>
      <c r="B84" s="21">
        <f t="shared" si="8"/>
        <v>0</v>
      </c>
      <c r="C84" s="39"/>
      <c r="D84" s="37"/>
      <c r="E84" s="38"/>
      <c r="F84" s="36">
        <f t="shared" si="9"/>
        <v>0</v>
      </c>
      <c r="G84" s="30"/>
      <c r="H84" s="26">
        <v>43900</v>
      </c>
      <c r="I84" s="27">
        <v>100</v>
      </c>
      <c r="J84" s="51" t="s">
        <v>59</v>
      </c>
      <c r="K84" s="54" t="s">
        <v>60</v>
      </c>
      <c r="L84" s="55"/>
      <c r="M84" s="56"/>
      <c r="N84" s="56"/>
      <c r="O84" s="55"/>
    </row>
    <row r="85" s="1" customFormat="1" ht="18" customHeight="1" spans="1:15">
      <c r="A85" s="35"/>
      <c r="B85" s="21">
        <f t="shared" si="8"/>
        <v>0</v>
      </c>
      <c r="C85" s="39"/>
      <c r="D85" s="37"/>
      <c r="E85" s="38"/>
      <c r="F85" s="36">
        <f t="shared" si="9"/>
        <v>0</v>
      </c>
      <c r="G85" s="30"/>
      <c r="H85" s="26">
        <v>43900</v>
      </c>
      <c r="I85" s="27">
        <v>-909920</v>
      </c>
      <c r="J85" s="51" t="s">
        <v>61</v>
      </c>
      <c r="K85" s="58" t="s">
        <v>69</v>
      </c>
      <c r="L85" s="55"/>
      <c r="M85" s="56"/>
      <c r="N85" s="56"/>
      <c r="O85" s="55"/>
    </row>
    <row r="86" s="1" customFormat="1" ht="18" customHeight="1" spans="1:15">
      <c r="A86" s="35"/>
      <c r="B86" s="21">
        <f t="shared" si="8"/>
        <v>0</v>
      </c>
      <c r="C86" s="39"/>
      <c r="D86" s="37"/>
      <c r="E86" s="38"/>
      <c r="F86" s="36">
        <f t="shared" si="9"/>
        <v>0</v>
      </c>
      <c r="G86" s="30"/>
      <c r="H86" s="26" t="s">
        <v>70</v>
      </c>
      <c r="I86" s="27">
        <v>200</v>
      </c>
      <c r="J86" s="51" t="s">
        <v>59</v>
      </c>
      <c r="K86" s="54" t="s">
        <v>60</v>
      </c>
      <c r="L86" s="55"/>
      <c r="M86" s="56"/>
      <c r="N86" s="56"/>
      <c r="O86" s="55"/>
    </row>
    <row r="87" s="1" customFormat="1" ht="18" customHeight="1" spans="1:15">
      <c r="A87" s="35"/>
      <c r="B87" s="21">
        <f t="shared" si="8"/>
        <v>0</v>
      </c>
      <c r="C87" s="39"/>
      <c r="D87" s="37"/>
      <c r="E87" s="74"/>
      <c r="F87" s="36">
        <f t="shared" si="9"/>
        <v>0</v>
      </c>
      <c r="G87" s="30"/>
      <c r="H87" s="26" t="s">
        <v>71</v>
      </c>
      <c r="I87" s="27">
        <v>150</v>
      </c>
      <c r="J87" s="51" t="s">
        <v>59</v>
      </c>
      <c r="K87" s="54" t="s">
        <v>60</v>
      </c>
      <c r="L87" s="55"/>
      <c r="M87" s="56"/>
      <c r="N87" s="56"/>
      <c r="O87" s="55"/>
    </row>
    <row r="88" s="1" customFormat="1" ht="18" customHeight="1" spans="1:15">
      <c r="A88" s="35"/>
      <c r="B88" s="21">
        <f t="shared" si="8"/>
        <v>0</v>
      </c>
      <c r="C88" s="39"/>
      <c r="D88" s="37"/>
      <c r="E88" s="74"/>
      <c r="F88" s="36">
        <f t="shared" si="9"/>
        <v>0</v>
      </c>
      <c r="G88" s="30"/>
      <c r="H88" s="26" t="s">
        <v>71</v>
      </c>
      <c r="I88" s="27">
        <v>931817</v>
      </c>
      <c r="J88" s="51" t="s">
        <v>65</v>
      </c>
      <c r="K88" s="54" t="s">
        <v>72</v>
      </c>
      <c r="L88" s="55"/>
      <c r="M88" s="56">
        <f>I88+I85+I81+I77</f>
        <v>0</v>
      </c>
      <c r="N88" s="56"/>
      <c r="O88" s="55"/>
    </row>
    <row r="89" s="1" customFormat="1" ht="18" customHeight="1" spans="1:15">
      <c r="A89" s="35"/>
      <c r="B89" s="21">
        <f t="shared" si="8"/>
        <v>0</v>
      </c>
      <c r="C89" s="39"/>
      <c r="D89" s="37"/>
      <c r="E89" s="74"/>
      <c r="F89" s="36">
        <f t="shared" si="9"/>
        <v>0</v>
      </c>
      <c r="G89" s="30"/>
      <c r="H89" s="26" t="s">
        <v>71</v>
      </c>
      <c r="I89" s="27">
        <v>91630</v>
      </c>
      <c r="J89" s="51" t="s">
        <v>59</v>
      </c>
      <c r="K89" s="54" t="s">
        <v>73</v>
      </c>
      <c r="L89" s="55"/>
      <c r="M89" s="56"/>
      <c r="N89" s="56"/>
      <c r="O89" s="55"/>
    </row>
    <row r="90" s="1" customFormat="1" ht="18" customHeight="1" spans="1:15">
      <c r="A90" s="35"/>
      <c r="B90" s="21">
        <f t="shared" si="8"/>
        <v>0</v>
      </c>
      <c r="C90" s="39"/>
      <c r="D90" s="37"/>
      <c r="E90" s="74"/>
      <c r="F90" s="36">
        <f t="shared" si="9"/>
        <v>0</v>
      </c>
      <c r="G90" s="30"/>
      <c r="H90" s="26" t="s">
        <v>71</v>
      </c>
      <c r="I90" s="27">
        <v>2522</v>
      </c>
      <c r="J90" s="51" t="s">
        <v>59</v>
      </c>
      <c r="K90" s="54" t="s">
        <v>67</v>
      </c>
      <c r="L90" s="55"/>
      <c r="M90" s="56"/>
      <c r="N90" s="56"/>
      <c r="O90" s="55"/>
    </row>
    <row r="91" s="1" customFormat="1" ht="18" customHeight="1" spans="1:15">
      <c r="A91" s="35"/>
      <c r="B91" s="21">
        <f t="shared" si="8"/>
        <v>0</v>
      </c>
      <c r="C91" s="39"/>
      <c r="D91" s="37"/>
      <c r="E91" s="74"/>
      <c r="F91" s="36">
        <f t="shared" si="9"/>
        <v>0</v>
      </c>
      <c r="G91" s="30"/>
      <c r="H91" s="26" t="s">
        <v>71</v>
      </c>
      <c r="I91" s="27">
        <v>200</v>
      </c>
      <c r="J91" s="51" t="s">
        <v>59</v>
      </c>
      <c r="K91" s="54" t="s">
        <v>60</v>
      </c>
      <c r="L91" s="55"/>
      <c r="M91" s="56"/>
      <c r="N91" s="56"/>
      <c r="O91" s="55"/>
    </row>
    <row r="92" s="1" customFormat="1" ht="18" customHeight="1" spans="1:15">
      <c r="A92" s="35"/>
      <c r="B92" s="21">
        <f t="shared" si="8"/>
        <v>0</v>
      </c>
      <c r="C92" s="39"/>
      <c r="D92" s="37"/>
      <c r="E92" s="74"/>
      <c r="F92" s="36">
        <f t="shared" si="9"/>
        <v>0</v>
      </c>
      <c r="G92" s="30"/>
      <c r="H92" s="26" t="s">
        <v>71</v>
      </c>
      <c r="I92" s="27">
        <v>9000</v>
      </c>
      <c r="J92" s="51" t="s">
        <v>59</v>
      </c>
      <c r="K92" s="54" t="s">
        <v>74</v>
      </c>
      <c r="L92" s="55"/>
      <c r="M92" s="56"/>
      <c r="N92" s="56"/>
      <c r="O92" s="55"/>
    </row>
    <row r="93" s="1" customFormat="1" ht="18" customHeight="1" spans="1:15">
      <c r="A93" s="35"/>
      <c r="B93" s="21">
        <f t="shared" si="8"/>
        <v>290682</v>
      </c>
      <c r="C93" s="39"/>
      <c r="D93" s="37"/>
      <c r="E93" s="74"/>
      <c r="F93" s="36">
        <f t="shared" si="9"/>
        <v>0</v>
      </c>
      <c r="G93" s="30">
        <v>290682</v>
      </c>
      <c r="H93" s="26" t="s">
        <v>71</v>
      </c>
      <c r="I93" s="27">
        <f>G93</f>
        <v>290682</v>
      </c>
      <c r="J93" s="51" t="s">
        <v>59</v>
      </c>
      <c r="K93" s="54" t="s">
        <v>75</v>
      </c>
      <c r="L93" s="55"/>
      <c r="M93" s="56"/>
      <c r="N93" s="56"/>
      <c r="O93" s="55"/>
    </row>
    <row r="94" s="1" customFormat="1" ht="18" customHeight="1" spans="1:15">
      <c r="A94" s="35"/>
      <c r="B94" s="21">
        <f t="shared" si="8"/>
        <v>0</v>
      </c>
      <c r="C94" s="39"/>
      <c r="D94" s="37"/>
      <c r="E94" s="74"/>
      <c r="F94" s="36">
        <f t="shared" si="9"/>
        <v>0</v>
      </c>
      <c r="G94" s="30"/>
      <c r="H94" s="26" t="s">
        <v>76</v>
      </c>
      <c r="I94" s="27">
        <v>3000</v>
      </c>
      <c r="J94" s="51" t="s">
        <v>59</v>
      </c>
      <c r="K94" s="54" t="s">
        <v>74</v>
      </c>
      <c r="L94" s="55"/>
      <c r="M94" s="56"/>
      <c r="N94" s="56"/>
      <c r="O94" s="55"/>
    </row>
    <row r="95" s="1" customFormat="1" ht="18" customHeight="1" spans="1:15">
      <c r="A95" s="35"/>
      <c r="B95" s="21">
        <f t="shared" si="8"/>
        <v>0</v>
      </c>
      <c r="C95" s="39"/>
      <c r="D95" s="37"/>
      <c r="E95" s="74"/>
      <c r="F95" s="36">
        <f t="shared" si="9"/>
        <v>0</v>
      </c>
      <c r="G95" s="30"/>
      <c r="H95" s="26" t="s">
        <v>76</v>
      </c>
      <c r="I95" s="27">
        <v>-563677</v>
      </c>
      <c r="J95" s="51" t="s">
        <v>61</v>
      </c>
      <c r="K95" s="54" t="s">
        <v>77</v>
      </c>
      <c r="L95" s="55"/>
      <c r="M95" s="56"/>
      <c r="N95" s="56"/>
      <c r="O95" s="55"/>
    </row>
    <row r="96" s="1" customFormat="1" ht="18" customHeight="1" spans="1:15">
      <c r="A96" s="35"/>
      <c r="B96" s="21">
        <f t="shared" si="8"/>
        <v>0</v>
      </c>
      <c r="C96" s="39"/>
      <c r="D96" s="37"/>
      <c r="E96" s="74"/>
      <c r="F96" s="36">
        <f t="shared" si="9"/>
        <v>0</v>
      </c>
      <c r="G96" s="30"/>
      <c r="H96" s="26" t="s">
        <v>76</v>
      </c>
      <c r="I96" s="27">
        <v>-181186</v>
      </c>
      <c r="J96" s="51" t="s">
        <v>78</v>
      </c>
      <c r="K96" s="54" t="s">
        <v>79</v>
      </c>
      <c r="L96" s="55"/>
      <c r="M96" s="56"/>
      <c r="N96" s="56"/>
      <c r="O96" s="55"/>
    </row>
    <row r="97" s="1" customFormat="1" ht="18" customHeight="1" spans="1:15">
      <c r="A97" s="35"/>
      <c r="B97" s="21">
        <f t="shared" si="8"/>
        <v>0</v>
      </c>
      <c r="C97" s="39"/>
      <c r="D97" s="37"/>
      <c r="E97" s="74"/>
      <c r="F97" s="21">
        <f t="shared" si="9"/>
        <v>0</v>
      </c>
      <c r="G97" s="30"/>
      <c r="H97" s="26" t="s">
        <v>76</v>
      </c>
      <c r="I97" s="29">
        <v>181186</v>
      </c>
      <c r="J97" s="51" t="s">
        <v>59</v>
      </c>
      <c r="K97" s="54" t="s">
        <v>63</v>
      </c>
      <c r="L97" s="55"/>
      <c r="M97" s="56"/>
      <c r="N97" s="56"/>
      <c r="O97" s="55"/>
    </row>
    <row r="98" s="1" customFormat="1" ht="18" customHeight="1" spans="1:15">
      <c r="A98" s="35"/>
      <c r="B98" s="21">
        <f t="shared" si="8"/>
        <v>0</v>
      </c>
      <c r="C98" s="39"/>
      <c r="D98" s="37"/>
      <c r="E98" s="74"/>
      <c r="F98" s="21">
        <f t="shared" si="9"/>
        <v>0</v>
      </c>
      <c r="G98" s="30"/>
      <c r="H98" s="26" t="s">
        <v>76</v>
      </c>
      <c r="I98" s="27">
        <v>563677</v>
      </c>
      <c r="J98" s="51" t="s">
        <v>65</v>
      </c>
      <c r="K98" s="54" t="s">
        <v>66</v>
      </c>
      <c r="L98" s="55"/>
      <c r="M98" s="56"/>
      <c r="N98" s="56"/>
      <c r="O98" s="55"/>
    </row>
    <row r="99" s="1" customFormat="1" ht="18" customHeight="1" spans="1:15">
      <c r="A99" s="35"/>
      <c r="B99" s="21">
        <f t="shared" si="8"/>
        <v>0</v>
      </c>
      <c r="C99" s="39"/>
      <c r="D99" s="37"/>
      <c r="E99" s="74"/>
      <c r="F99" s="21">
        <f t="shared" si="9"/>
        <v>0</v>
      </c>
      <c r="G99" s="30"/>
      <c r="H99" s="26" t="s">
        <v>76</v>
      </c>
      <c r="I99" s="27">
        <v>47062</v>
      </c>
      <c r="J99" s="51" t="s">
        <v>59</v>
      </c>
      <c r="K99" s="54" t="s">
        <v>80</v>
      </c>
      <c r="L99" s="55"/>
      <c r="M99" s="56"/>
      <c r="N99" s="56"/>
      <c r="O99" s="55"/>
    </row>
    <row r="100" s="1" customFormat="1" ht="18" customHeight="1" spans="1:15">
      <c r="A100" s="35"/>
      <c r="B100" s="21">
        <f t="shared" si="8"/>
        <v>0</v>
      </c>
      <c r="C100" s="39"/>
      <c r="D100" s="37"/>
      <c r="E100" s="74"/>
      <c r="F100" s="21">
        <f t="shared" si="9"/>
        <v>0</v>
      </c>
      <c r="G100" s="30"/>
      <c r="H100" s="26" t="s">
        <v>76</v>
      </c>
      <c r="I100" s="27">
        <v>1412</v>
      </c>
      <c r="J100" s="51" t="s">
        <v>59</v>
      </c>
      <c r="K100" s="54" t="s">
        <v>67</v>
      </c>
      <c r="L100" s="55"/>
      <c r="M100" s="56"/>
      <c r="N100" s="56"/>
      <c r="O100" s="55"/>
    </row>
    <row r="101" s="1" customFormat="1" ht="18" customHeight="1" spans="1:15">
      <c r="A101" s="35"/>
      <c r="B101" s="21">
        <f t="shared" si="8"/>
        <v>51296.82</v>
      </c>
      <c r="C101" s="39"/>
      <c r="D101" s="37"/>
      <c r="E101" s="74"/>
      <c r="F101" s="21">
        <f t="shared" si="9"/>
        <v>0</v>
      </c>
      <c r="G101" s="30">
        <f>I7*0.02</f>
        <v>51296.823</v>
      </c>
      <c r="H101" s="26" t="s">
        <v>76</v>
      </c>
      <c r="I101" s="27">
        <f>G101</f>
        <v>51296.823</v>
      </c>
      <c r="J101" s="51" t="s">
        <v>59</v>
      </c>
      <c r="K101" s="54" t="s">
        <v>81</v>
      </c>
      <c r="L101" s="55"/>
      <c r="M101" s="56"/>
      <c r="N101" s="56"/>
      <c r="O101" s="55"/>
    </row>
    <row r="102" s="111" customFormat="1" ht="45" customHeight="1" spans="1:15">
      <c r="A102" s="115"/>
      <c r="B102" s="116">
        <f t="shared" si="8"/>
        <v>0</v>
      </c>
      <c r="C102" s="117"/>
      <c r="D102" s="118"/>
      <c r="E102" s="119"/>
      <c r="F102" s="116">
        <f t="shared" si="9"/>
        <v>0</v>
      </c>
      <c r="G102" s="116"/>
      <c r="H102" s="120"/>
      <c r="I102" s="131"/>
      <c r="J102" s="132"/>
      <c r="K102" s="133" t="s">
        <v>82</v>
      </c>
      <c r="L102" s="134"/>
      <c r="M102" s="135"/>
      <c r="N102" s="135"/>
      <c r="O102" s="134"/>
    </row>
    <row r="103" ht="18" customHeight="1" spans="1:15">
      <c r="A103" s="113" t="s">
        <v>23</v>
      </c>
      <c r="B103" s="121">
        <f>SUM(B16:B102)</f>
        <v>9596575.34</v>
      </c>
      <c r="C103" s="113"/>
      <c r="D103" s="122"/>
      <c r="E103" s="122"/>
      <c r="F103" s="123">
        <f>SUM(F17:F102)</f>
        <v>280944.53</v>
      </c>
      <c r="G103" s="124">
        <f>SUM(G17:G102)</f>
        <v>9862130.823</v>
      </c>
      <c r="H103" s="125"/>
      <c r="I103" s="106">
        <f>SUM(I17:I102)</f>
        <v>10150594.1249046</v>
      </c>
      <c r="J103" s="136"/>
      <c r="K103" s="122"/>
      <c r="L103" s="52"/>
      <c r="M103" s="51"/>
      <c r="N103" s="51"/>
      <c r="O103" s="52"/>
    </row>
    <row r="104" ht="18" customHeight="1" spans="1:14">
      <c r="A104" s="79" t="s">
        <v>83</v>
      </c>
      <c r="B104" s="80">
        <f>B13*0.92</f>
        <v>8586086.98788991</v>
      </c>
      <c r="C104" s="79"/>
      <c r="D104" s="81"/>
      <c r="E104" s="81"/>
      <c r="F104" s="80">
        <f t="shared" ref="F104:I104" si="10">F13-F103</f>
        <v>372344.69733945</v>
      </c>
      <c r="G104" s="80">
        <f t="shared" si="10"/>
        <v>310515.717</v>
      </c>
      <c r="H104" s="25" t="s">
        <v>84</v>
      </c>
      <c r="I104" s="106">
        <f t="shared" si="10"/>
        <v>22712.0250954125</v>
      </c>
      <c r="J104" s="10"/>
      <c r="K104" s="107"/>
      <c r="M104" s="108"/>
      <c r="N104" s="108"/>
    </row>
    <row r="105" ht="18" customHeight="1" spans="1:14">
      <c r="A105" s="79" t="s">
        <v>85</v>
      </c>
      <c r="B105" s="80">
        <f>B104-B103</f>
        <v>-1010488.35211009</v>
      </c>
      <c r="C105" s="79"/>
      <c r="D105" s="81"/>
      <c r="E105" s="81"/>
      <c r="F105" s="80"/>
      <c r="G105" s="80"/>
      <c r="H105" s="82"/>
      <c r="I105" s="80"/>
      <c r="J105" s="10"/>
      <c r="K105" s="107"/>
      <c r="M105" s="108"/>
      <c r="N105" s="108"/>
    </row>
    <row r="106" ht="18" customHeight="1" spans="1:18">
      <c r="A106" s="5" t="s">
        <v>86</v>
      </c>
      <c r="C106" s="5"/>
      <c r="R106" s="10">
        <f>I85+I88+I95+I98</f>
        <v>21897</v>
      </c>
    </row>
    <row r="107" ht="18" customHeight="1" spans="1:15">
      <c r="A107" s="25" t="s">
        <v>87</v>
      </c>
      <c r="B107" s="24" t="s">
        <v>88</v>
      </c>
      <c r="C107" s="52"/>
      <c r="D107" s="25" t="s">
        <v>87</v>
      </c>
      <c r="E107" s="23" t="s">
        <v>16</v>
      </c>
      <c r="F107" s="24" t="s">
        <v>88</v>
      </c>
      <c r="G107" s="6" t="s">
        <v>89</v>
      </c>
      <c r="H107" s="126" t="s">
        <v>90</v>
      </c>
      <c r="I107" s="126" t="s">
        <v>91</v>
      </c>
      <c r="K107" s="24" t="s">
        <v>92</v>
      </c>
      <c r="M107" s="25" t="s">
        <v>123</v>
      </c>
      <c r="N107" s="25"/>
      <c r="O107" s="25"/>
    </row>
    <row r="108" ht="18" customHeight="1" spans="1:15">
      <c r="A108" s="52" t="s">
        <v>93</v>
      </c>
      <c r="B108" s="21">
        <f>(B104-B103)*0.25</f>
        <v>-252622.088027523</v>
      </c>
      <c r="C108" s="52"/>
      <c r="D108" s="32" t="s">
        <v>94</v>
      </c>
      <c r="E108" s="25" t="s">
        <v>95</v>
      </c>
      <c r="F108" s="123">
        <f>F13-F103</f>
        <v>372344.69733945</v>
      </c>
      <c r="G108" s="6">
        <f>F7</f>
        <v>164714.569266055</v>
      </c>
      <c r="H108" s="127">
        <f>F7</f>
        <v>164714.569266055</v>
      </c>
      <c r="I108" s="27">
        <f>F9-F19-F20</f>
        <v>223803.614036697</v>
      </c>
      <c r="K108" s="27">
        <f>F108-H108-I108+G119+I119</f>
        <v>136752.184036697</v>
      </c>
      <c r="M108" s="51">
        <f>F108-H108-I108-K108+G119+I119</f>
        <v>0</v>
      </c>
      <c r="N108" s="51"/>
      <c r="O108" s="51"/>
    </row>
    <row r="109" ht="18" customHeight="1" spans="1:15">
      <c r="A109" s="52" t="s">
        <v>96</v>
      </c>
      <c r="B109" s="87" t="s">
        <v>97</v>
      </c>
      <c r="C109" s="52"/>
      <c r="D109" s="88" t="s">
        <v>98</v>
      </c>
      <c r="E109" s="17">
        <v>0.05</v>
      </c>
      <c r="F109" s="27">
        <f>F108*E109</f>
        <v>18617.2348669725</v>
      </c>
      <c r="G109" s="6">
        <f>G108*E109</f>
        <v>8235.72846330275</v>
      </c>
      <c r="H109" s="128">
        <f>H108*E109</f>
        <v>8235.72846330275</v>
      </c>
      <c r="I109" s="27">
        <f>I108*E109</f>
        <v>11190.1807018349</v>
      </c>
      <c r="K109" s="27">
        <f>K108*E109</f>
        <v>6837.60920183486</v>
      </c>
      <c r="M109" s="51">
        <v>0</v>
      </c>
      <c r="N109" s="51"/>
      <c r="O109" s="51"/>
    </row>
    <row r="110" ht="18" customHeight="1" spans="1:15">
      <c r="A110" s="52" t="s">
        <v>67</v>
      </c>
      <c r="B110" s="87"/>
      <c r="C110" s="52"/>
      <c r="D110" s="88" t="s">
        <v>99</v>
      </c>
      <c r="E110" s="17">
        <v>0.03</v>
      </c>
      <c r="F110" s="27">
        <f>F108*E110</f>
        <v>11170.3409201835</v>
      </c>
      <c r="G110" s="6">
        <f>G108*E110</f>
        <v>4941.43707798165</v>
      </c>
      <c r="H110" s="128">
        <f>H108*E110</f>
        <v>4941.43707798165</v>
      </c>
      <c r="I110" s="27">
        <f>I108*E110</f>
        <v>6714.10842110092</v>
      </c>
      <c r="K110" s="27">
        <f>K108*E110</f>
        <v>4102.56552110092</v>
      </c>
      <c r="M110" s="51">
        <v>0</v>
      </c>
      <c r="N110" s="51"/>
      <c r="O110" s="51"/>
    </row>
    <row r="111" ht="18" customHeight="1" spans="1:15">
      <c r="A111" s="52"/>
      <c r="B111" s="27"/>
      <c r="C111" s="52"/>
      <c r="D111" s="88" t="s">
        <v>100</v>
      </c>
      <c r="E111" s="17">
        <v>0.02</v>
      </c>
      <c r="F111" s="27">
        <f>F108*E111</f>
        <v>7446.89394678899</v>
      </c>
      <c r="G111" s="6">
        <f>G108*E111</f>
        <v>3294.2913853211</v>
      </c>
      <c r="H111" s="128">
        <f>H108*E111</f>
        <v>3294.2913853211</v>
      </c>
      <c r="I111" s="27">
        <f>I108*E111</f>
        <v>4476.07228073394</v>
      </c>
      <c r="K111" s="27">
        <f>K108*E111</f>
        <v>2735.04368073395</v>
      </c>
      <c r="M111" s="51" t="s">
        <v>123</v>
      </c>
      <c r="N111" s="51"/>
      <c r="O111" s="51"/>
    </row>
    <row r="112" ht="18" customHeight="1" spans="1:15">
      <c r="A112" s="32" t="s">
        <v>101</v>
      </c>
      <c r="B112" s="121">
        <f t="shared" ref="B112:I112" si="11">SUM(B108:B111)</f>
        <v>-252622.088027523</v>
      </c>
      <c r="C112" s="52"/>
      <c r="D112" s="34" t="s">
        <v>101</v>
      </c>
      <c r="E112" s="32"/>
      <c r="F112" s="123">
        <f t="shared" si="11"/>
        <v>409579.167073394</v>
      </c>
      <c r="G112" s="6">
        <f t="shared" si="11"/>
        <v>181186.026192661</v>
      </c>
      <c r="H112" s="127">
        <f t="shared" si="11"/>
        <v>181186.026192661</v>
      </c>
      <c r="I112" s="27">
        <f t="shared" si="11"/>
        <v>246183.975440367</v>
      </c>
      <c r="K112" s="27">
        <f>SUM(K108:K111)</f>
        <v>150427.402440367</v>
      </c>
      <c r="M112" s="51">
        <v>0</v>
      </c>
      <c r="N112" s="51"/>
      <c r="O112" s="51"/>
    </row>
    <row r="113" ht="18" customHeight="1" spans="3:15">
      <c r="C113" s="5"/>
      <c r="D113" s="15" t="s">
        <v>67</v>
      </c>
      <c r="E113" s="129">
        <v>0.0006</v>
      </c>
      <c r="F113" s="27">
        <f>B13*E113</f>
        <v>5599.62194862385</v>
      </c>
      <c r="H113" s="27">
        <f>B7*E113</f>
        <v>1411.83916513761</v>
      </c>
      <c r="I113" s="27">
        <f>B9*0.0006</f>
        <v>2521.91009174312</v>
      </c>
      <c r="K113" s="70">
        <f>B10*E113</f>
        <v>665.513647706422</v>
      </c>
      <c r="M113" s="51">
        <f>E113*B11</f>
        <v>1000.3590440367</v>
      </c>
      <c r="N113" s="51"/>
      <c r="O113" s="51"/>
    </row>
    <row r="114" ht="18" customHeight="1" spans="3:15">
      <c r="C114" s="5"/>
      <c r="D114" s="23" t="s">
        <v>101</v>
      </c>
      <c r="E114" s="122"/>
      <c r="F114" s="106">
        <f>F113</f>
        <v>5599.62194862385</v>
      </c>
      <c r="H114" s="106">
        <f>H113</f>
        <v>1411.83916513761</v>
      </c>
      <c r="I114" s="27"/>
      <c r="K114" s="52"/>
      <c r="M114" s="109">
        <f>M113</f>
        <v>1000.3590440367</v>
      </c>
      <c r="N114" s="109"/>
      <c r="O114" s="109"/>
    </row>
    <row r="115" ht="18" customHeight="1" spans="3:15">
      <c r="C115" s="5"/>
      <c r="D115" s="23" t="s">
        <v>23</v>
      </c>
      <c r="E115" s="113"/>
      <c r="F115" s="106">
        <f>F112+F114</f>
        <v>415178.789022018</v>
      </c>
      <c r="H115" s="106">
        <f>H112+H114</f>
        <v>182597.865357798</v>
      </c>
      <c r="I115" s="27"/>
      <c r="K115" s="52"/>
      <c r="M115" s="109"/>
      <c r="N115" s="109"/>
      <c r="O115" s="109"/>
    </row>
    <row r="116" ht="18" customHeight="1" spans="3:15">
      <c r="C116" s="5"/>
      <c r="D116" s="113" t="s">
        <v>93</v>
      </c>
      <c r="E116" s="122">
        <v>0.02</v>
      </c>
      <c r="F116" s="106">
        <f>B13*E116</f>
        <v>186654.064954128</v>
      </c>
      <c r="G116" s="130" t="s">
        <v>102</v>
      </c>
      <c r="H116" s="106">
        <f>B7*E116</f>
        <v>47061.3055045872</v>
      </c>
      <c r="I116" s="52">
        <f>G9*E116</f>
        <v>91629.4</v>
      </c>
      <c r="K116" s="52">
        <f>B10*E116</f>
        <v>22183.7882568807</v>
      </c>
      <c r="M116" s="109">
        <f>E116*G11</f>
        <v>36346.3786</v>
      </c>
      <c r="N116" s="109"/>
      <c r="O116" s="109"/>
    </row>
    <row r="117" ht="18" customHeight="1" spans="3:7">
      <c r="C117" s="5"/>
      <c r="G117" s="130" t="s">
        <v>103</v>
      </c>
    </row>
    <row r="118" ht="18" customHeight="1" spans="3:9">
      <c r="C118" s="5"/>
      <c r="E118" s="25" t="s">
        <v>87</v>
      </c>
      <c r="F118" s="23" t="s">
        <v>16</v>
      </c>
      <c r="G118" s="24" t="s">
        <v>104</v>
      </c>
      <c r="H118" s="15"/>
      <c r="I118" s="27" t="s">
        <v>105</v>
      </c>
    </row>
    <row r="119" ht="18" customHeight="1" spans="3:9">
      <c r="C119" s="5"/>
      <c r="E119" s="32" t="s">
        <v>94</v>
      </c>
      <c r="F119" s="25" t="s">
        <v>95</v>
      </c>
      <c r="G119" s="123">
        <f>F17+F18</f>
        <v>115191.16</v>
      </c>
      <c r="H119" s="15"/>
      <c r="I119" s="27">
        <f>F23</f>
        <v>37734.51</v>
      </c>
    </row>
    <row r="120" spans="3:9">
      <c r="C120" s="5"/>
      <c r="E120" s="88" t="s">
        <v>98</v>
      </c>
      <c r="F120" s="17">
        <v>0.05</v>
      </c>
      <c r="G120" s="27">
        <f>G119*E109</f>
        <v>5759.558</v>
      </c>
      <c r="H120" s="15"/>
      <c r="I120" s="27">
        <f>I119*E109</f>
        <v>1886.7255</v>
      </c>
    </row>
    <row r="121" spans="3:9">
      <c r="C121" s="5"/>
      <c r="E121" s="88" t="s">
        <v>99</v>
      </c>
      <c r="F121" s="17">
        <v>0.03</v>
      </c>
      <c r="G121" s="27">
        <f>G119*E110</f>
        <v>3455.7348</v>
      </c>
      <c r="H121" s="15"/>
      <c r="I121" s="27">
        <f>I119*E110</f>
        <v>1132.0353</v>
      </c>
    </row>
    <row r="122" spans="3:9">
      <c r="C122" s="5"/>
      <c r="E122" s="88" t="s">
        <v>100</v>
      </c>
      <c r="F122" s="17">
        <v>0.02</v>
      </c>
      <c r="G122" s="27">
        <f>G119*E111</f>
        <v>2303.8232</v>
      </c>
      <c r="H122" s="15"/>
      <c r="I122" s="27">
        <f>I119*E111</f>
        <v>754.6902</v>
      </c>
    </row>
    <row r="123" spans="3:9">
      <c r="C123" s="5"/>
      <c r="E123" s="34" t="s">
        <v>101</v>
      </c>
      <c r="F123" s="32"/>
      <c r="G123" s="123">
        <f>SUM(G119:G122)</f>
        <v>126710.276</v>
      </c>
      <c r="H123" s="15"/>
      <c r="I123" s="137">
        <f>SUM(I119:I122)</f>
        <v>41507.961</v>
      </c>
    </row>
    <row r="124" spans="3:9">
      <c r="C124" s="5"/>
      <c r="G124" s="80" t="s">
        <v>106</v>
      </c>
      <c r="I124" s="80" t="s">
        <v>107</v>
      </c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</sheetData>
  <protectedRanges>
    <protectedRange sqref="I19" name="区域1"/>
  </protectedRanges>
  <autoFilter ref="A15:R134">
    <extLst/>
  </autoFilter>
  <mergeCells count="18">
    <mergeCell ref="A1:J1"/>
    <mergeCell ref="H2:J2"/>
    <mergeCell ref="C5:D5"/>
    <mergeCell ref="E5:F5"/>
    <mergeCell ref="H5:J5"/>
    <mergeCell ref="M107:O107"/>
    <mergeCell ref="M108:O108"/>
    <mergeCell ref="M109:O109"/>
    <mergeCell ref="M110:O110"/>
    <mergeCell ref="M111:O111"/>
    <mergeCell ref="M112:O112"/>
    <mergeCell ref="M113:O113"/>
    <mergeCell ref="M114:O114"/>
    <mergeCell ref="M115:O115"/>
    <mergeCell ref="M116:O116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abSelected="1" workbookViewId="0">
      <selection activeCell="K12" sqref="K12"/>
    </sheetView>
  </sheetViews>
  <sheetFormatPr defaultColWidth="9" defaultRowHeight="11.25"/>
  <cols>
    <col min="1" max="1" width="10.75" style="5" customWidth="1"/>
    <col min="2" max="2" width="13.1333333333333" style="6" customWidth="1"/>
    <col min="3" max="3" width="6" style="7" customWidth="1"/>
    <col min="4" max="4" width="14.5" style="7" customWidth="1"/>
    <col min="5" max="5" width="6" style="7" customWidth="1"/>
    <col min="6" max="6" width="13.1333333333333" style="6" customWidth="1"/>
    <col min="7" max="7" width="15.5" style="6" customWidth="1"/>
    <col min="8" max="8" width="12.6333333333333" style="8" customWidth="1"/>
    <col min="9" max="9" width="13.8833333333333" style="6" customWidth="1"/>
    <col min="10" max="10" width="6.13333333333333" style="9" customWidth="1"/>
    <col min="11" max="11" width="31.5" style="10" customWidth="1"/>
    <col min="12" max="12" width="12.75" style="10" customWidth="1"/>
    <col min="13" max="13" width="8.38333333333333" style="10" customWidth="1"/>
    <col min="14" max="14" width="5.63333333333333" style="10" customWidth="1"/>
    <col min="15" max="15" width="9.63333333333333" style="10"/>
    <col min="16" max="17" width="9" style="10"/>
    <col min="18" max="18" width="10.3833333333333" style="10"/>
    <col min="19" max="16384" width="9" style="10"/>
  </cols>
  <sheetData>
    <row r="1" ht="21.95" customHeight="1" spans="1:12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1"/>
      <c r="K1" s="22"/>
      <c r="L1" s="22"/>
    </row>
    <row r="2" ht="18" customHeight="1" spans="1:12">
      <c r="A2" s="13" t="s">
        <v>1</v>
      </c>
      <c r="B2" s="14">
        <v>43594</v>
      </c>
      <c r="C2" s="15" t="s">
        <v>2</v>
      </c>
      <c r="D2" s="16">
        <v>17098941</v>
      </c>
      <c r="E2" s="17" t="s">
        <v>3</v>
      </c>
      <c r="F2" s="18" t="s">
        <v>4</v>
      </c>
      <c r="G2" s="19" t="s">
        <v>5</v>
      </c>
      <c r="H2" s="20" t="s">
        <v>6</v>
      </c>
      <c r="I2" s="48"/>
      <c r="J2" s="49"/>
      <c r="K2" s="22"/>
      <c r="L2" s="22"/>
    </row>
    <row r="3" ht="18" customHeight="1" spans="1:12">
      <c r="A3" s="13" t="s">
        <v>7</v>
      </c>
      <c r="B3" s="21"/>
      <c r="C3" s="15" t="s">
        <v>8</v>
      </c>
      <c r="D3" s="15"/>
      <c r="H3" s="22"/>
      <c r="I3" s="50"/>
      <c r="J3" s="22"/>
      <c r="K3" s="22"/>
      <c r="L3" s="22"/>
    </row>
    <row r="4" ht="18" customHeight="1" spans="1:12">
      <c r="A4" s="5" t="s">
        <v>9</v>
      </c>
      <c r="H4" s="22"/>
      <c r="I4" s="50"/>
      <c r="J4" s="22"/>
      <c r="K4" s="22"/>
      <c r="L4" s="22"/>
    </row>
    <row r="5" ht="18" customHeight="1" spans="1:10">
      <c r="A5" s="23" t="s">
        <v>10</v>
      </c>
      <c r="B5" s="24" t="s">
        <v>11</v>
      </c>
      <c r="C5" s="23" t="s">
        <v>12</v>
      </c>
      <c r="D5" s="23"/>
      <c r="E5" s="23" t="s">
        <v>13</v>
      </c>
      <c r="F5" s="24"/>
      <c r="G5" s="24" t="s">
        <v>14</v>
      </c>
      <c r="H5" s="25" t="s">
        <v>15</v>
      </c>
      <c r="I5" s="24"/>
      <c r="J5" s="25"/>
    </row>
    <row r="6" ht="18" customHeight="1" spans="1:10">
      <c r="A6" s="23"/>
      <c r="B6" s="24"/>
      <c r="C6" s="23" t="s">
        <v>16</v>
      </c>
      <c r="D6" s="23" t="s">
        <v>17</v>
      </c>
      <c r="E6" s="23" t="s">
        <v>16</v>
      </c>
      <c r="F6" s="24" t="s">
        <v>17</v>
      </c>
      <c r="G6" s="24"/>
      <c r="H6" s="25" t="s">
        <v>18</v>
      </c>
      <c r="I6" s="24" t="s">
        <v>19</v>
      </c>
      <c r="J6" s="25" t="s">
        <v>20</v>
      </c>
    </row>
    <row r="7" ht="18" customHeight="1" spans="1:10">
      <c r="A7" s="26">
        <v>43679</v>
      </c>
      <c r="B7" s="27">
        <f t="shared" ref="B7:B12" si="0">G7/(1+C7+E7)</f>
        <v>2353065.27522936</v>
      </c>
      <c r="C7" s="28">
        <v>0.02</v>
      </c>
      <c r="D7" s="29">
        <f t="shared" ref="D7:D12" si="1">G7/(1+E7+C7)*C7</f>
        <v>47061.3055045872</v>
      </c>
      <c r="E7" s="28">
        <v>0.07</v>
      </c>
      <c r="F7" s="27">
        <f t="shared" ref="F7:F12" si="2">G7/(1+C7+E7)*E7</f>
        <v>164714.569266055</v>
      </c>
      <c r="G7" s="30">
        <v>2564841.15</v>
      </c>
      <c r="H7" s="26">
        <v>43682</v>
      </c>
      <c r="I7" s="27">
        <v>2564841.15</v>
      </c>
      <c r="J7" s="51" t="s">
        <v>21</v>
      </c>
    </row>
    <row r="8" ht="18" customHeight="1" spans="1:10">
      <c r="A8" s="26"/>
      <c r="B8" s="27"/>
      <c r="C8" s="28"/>
      <c r="D8" s="29"/>
      <c r="E8" s="28"/>
      <c r="F8" s="27"/>
      <c r="G8" s="30"/>
      <c r="H8" s="26">
        <v>43850</v>
      </c>
      <c r="I8" s="27">
        <v>3665176</v>
      </c>
      <c r="J8" s="51" t="s">
        <v>21</v>
      </c>
    </row>
    <row r="9" ht="18" customHeight="1" spans="1:10">
      <c r="A9" s="26">
        <v>43838</v>
      </c>
      <c r="B9" s="27">
        <f t="shared" si="0"/>
        <v>4203183.48623853</v>
      </c>
      <c r="C9" s="28">
        <v>0.02</v>
      </c>
      <c r="D9" s="29">
        <f t="shared" si="1"/>
        <v>84063.6697247706</v>
      </c>
      <c r="E9" s="31">
        <v>0.07</v>
      </c>
      <c r="F9" s="27">
        <f t="shared" si="2"/>
        <v>294222.844036697</v>
      </c>
      <c r="G9" s="30">
        <v>4581470</v>
      </c>
      <c r="H9" s="26">
        <v>43850</v>
      </c>
      <c r="I9" s="27">
        <v>916294</v>
      </c>
      <c r="J9" s="51" t="s">
        <v>22</v>
      </c>
    </row>
    <row r="10" ht="18" customHeight="1" spans="1:10">
      <c r="A10" s="26">
        <v>43962</v>
      </c>
      <c r="B10" s="27">
        <f t="shared" si="0"/>
        <v>1109189.41284404</v>
      </c>
      <c r="C10" s="31">
        <v>0.02</v>
      </c>
      <c r="D10" s="29">
        <f t="shared" si="1"/>
        <v>22183.7882568807</v>
      </c>
      <c r="E10" s="31">
        <v>0.07</v>
      </c>
      <c r="F10" s="27">
        <f t="shared" si="2"/>
        <v>77643.2588990826</v>
      </c>
      <c r="G10" s="30">
        <v>1209016.46</v>
      </c>
      <c r="H10" s="26">
        <v>43971</v>
      </c>
      <c r="I10" s="27">
        <v>1209016.46</v>
      </c>
      <c r="J10" s="51" t="s">
        <v>21</v>
      </c>
    </row>
    <row r="11" ht="18" customHeight="1" spans="1:10">
      <c r="A11" s="26">
        <v>44092</v>
      </c>
      <c r="B11" s="27">
        <f t="shared" si="0"/>
        <v>1667265.0733945</v>
      </c>
      <c r="C11" s="31">
        <v>0.02</v>
      </c>
      <c r="D11" s="29">
        <f t="shared" si="1"/>
        <v>33345.3014678899</v>
      </c>
      <c r="E11" s="31">
        <v>0.07</v>
      </c>
      <c r="F11" s="27">
        <f t="shared" si="2"/>
        <v>116708.555137615</v>
      </c>
      <c r="G11" s="30">
        <v>1817318.93</v>
      </c>
      <c r="H11" s="26">
        <v>44119</v>
      </c>
      <c r="I11" s="27">
        <v>1453855.14</v>
      </c>
      <c r="J11" s="51" t="s">
        <v>124</v>
      </c>
    </row>
    <row r="12" ht="18" customHeight="1" spans="1:10">
      <c r="A12" s="26">
        <v>44217</v>
      </c>
      <c r="B12" s="27">
        <f t="shared" si="0"/>
        <v>275229.357798165</v>
      </c>
      <c r="C12" s="28">
        <v>0.02</v>
      </c>
      <c r="D12" s="29">
        <f t="shared" si="1"/>
        <v>5504.5871559633</v>
      </c>
      <c r="E12" s="31">
        <v>0.07</v>
      </c>
      <c r="F12" s="27">
        <f t="shared" si="2"/>
        <v>19266.0550458716</v>
      </c>
      <c r="G12" s="30">
        <v>300000</v>
      </c>
      <c r="H12" s="26">
        <v>44135</v>
      </c>
      <c r="I12" s="27">
        <v>364123.4</v>
      </c>
      <c r="J12" s="51" t="s">
        <v>131</v>
      </c>
    </row>
    <row r="13" ht="18" customHeight="1" spans="1:10">
      <c r="A13" s="26"/>
      <c r="B13" s="27"/>
      <c r="C13" s="28"/>
      <c r="D13" s="29"/>
      <c r="E13" s="31"/>
      <c r="F13" s="27"/>
      <c r="G13" s="30"/>
      <c r="H13" s="26">
        <v>44223</v>
      </c>
      <c r="I13" s="27">
        <v>300000</v>
      </c>
      <c r="J13" s="51" t="s">
        <v>21</v>
      </c>
    </row>
    <row r="14" ht="18" customHeight="1" spans="1:10">
      <c r="A14" s="26"/>
      <c r="B14" s="27"/>
      <c r="C14" s="28"/>
      <c r="D14" s="29"/>
      <c r="E14" s="31"/>
      <c r="F14" s="27"/>
      <c r="G14" s="30"/>
      <c r="H14" s="26"/>
      <c r="I14" s="27"/>
      <c r="J14" s="51"/>
    </row>
    <row r="15" ht="18" customHeight="1" spans="1:10">
      <c r="A15" s="26"/>
      <c r="B15" s="27"/>
      <c r="C15" s="28"/>
      <c r="D15" s="29"/>
      <c r="E15" s="31"/>
      <c r="F15" s="27"/>
      <c r="G15" s="30"/>
      <c r="H15" s="26"/>
      <c r="I15" s="27"/>
      <c r="J15" s="51"/>
    </row>
    <row r="16" ht="18" customHeight="1" spans="1:10">
      <c r="A16" s="32" t="s">
        <v>23</v>
      </c>
      <c r="B16" s="33">
        <f>SUM(B7:B15)</f>
        <v>9607932.60550459</v>
      </c>
      <c r="C16" s="33"/>
      <c r="D16" s="33">
        <f t="shared" ref="C16:I16" si="3">SUM(D7:D15)</f>
        <v>192158.652110092</v>
      </c>
      <c r="E16" s="33"/>
      <c r="F16" s="33">
        <f t="shared" si="3"/>
        <v>672555.282385321</v>
      </c>
      <c r="G16" s="33">
        <f t="shared" si="3"/>
        <v>10472646.54</v>
      </c>
      <c r="H16" s="33"/>
      <c r="I16" s="33">
        <f t="shared" si="3"/>
        <v>10473306.15</v>
      </c>
      <c r="J16" s="52"/>
    </row>
    <row r="17" ht="18" customHeight="1" spans="1:12">
      <c r="A17" s="5" t="s">
        <v>24</v>
      </c>
      <c r="J17" s="7"/>
      <c r="K17" s="7"/>
      <c r="L17" s="9"/>
    </row>
    <row r="18" ht="18" customHeight="1" spans="1:15">
      <c r="A18" s="34" t="s">
        <v>25</v>
      </c>
      <c r="B18" s="24" t="s">
        <v>26</v>
      </c>
      <c r="C18" s="23" t="s">
        <v>27</v>
      </c>
      <c r="D18" s="23" t="s">
        <v>28</v>
      </c>
      <c r="E18" s="23" t="s">
        <v>16</v>
      </c>
      <c r="F18" s="24" t="s">
        <v>29</v>
      </c>
      <c r="G18" s="24" t="s">
        <v>14</v>
      </c>
      <c r="H18" s="23" t="s">
        <v>30</v>
      </c>
      <c r="I18" s="24" t="s">
        <v>31</v>
      </c>
      <c r="J18" s="23" t="s">
        <v>20</v>
      </c>
      <c r="K18" s="53" t="s">
        <v>32</v>
      </c>
      <c r="L18" s="25" t="s">
        <v>33</v>
      </c>
      <c r="M18" s="25" t="s">
        <v>34</v>
      </c>
      <c r="N18" s="25" t="s">
        <v>35</v>
      </c>
      <c r="O18" s="25" t="s">
        <v>36</v>
      </c>
    </row>
    <row r="19" customFormat="1" ht="18" customHeight="1" spans="1:15">
      <c r="A19" s="35">
        <v>43647</v>
      </c>
      <c r="B19" s="36">
        <f t="shared" ref="B19:B37" si="4">ROUND(G19/(1+E19),2)</f>
        <v>15389.05</v>
      </c>
      <c r="C19" s="23"/>
      <c r="D19" s="37" t="s">
        <v>37</v>
      </c>
      <c r="E19" s="38"/>
      <c r="F19" s="36">
        <f t="shared" ref="F19:F41" si="5">ROUND(G19/(1+E19)*E19,2)</f>
        <v>0</v>
      </c>
      <c r="G19" s="30">
        <v>15389.05</v>
      </c>
      <c r="H19" s="23"/>
      <c r="I19" s="24"/>
      <c r="J19" s="23"/>
      <c r="K19" s="53"/>
      <c r="L19" s="25"/>
      <c r="M19" s="25"/>
      <c r="N19" s="25"/>
      <c r="O19" s="25"/>
    </row>
    <row r="20" s="1" customFormat="1" ht="18" customHeight="1" spans="1:15">
      <c r="A20" s="35">
        <v>43678</v>
      </c>
      <c r="B20" s="36">
        <f t="shared" si="4"/>
        <v>619469.03</v>
      </c>
      <c r="C20" s="39"/>
      <c r="D20" s="37" t="s">
        <v>38</v>
      </c>
      <c r="E20" s="38">
        <v>0.13</v>
      </c>
      <c r="F20" s="36">
        <f t="shared" si="5"/>
        <v>80530.97</v>
      </c>
      <c r="G20" s="30">
        <v>700000</v>
      </c>
      <c r="H20" s="26">
        <v>43683</v>
      </c>
      <c r="I20" s="27">
        <v>700000</v>
      </c>
      <c r="J20" s="51" t="s">
        <v>21</v>
      </c>
      <c r="K20" s="54" t="s">
        <v>39</v>
      </c>
      <c r="L20" s="55" t="s">
        <v>40</v>
      </c>
      <c r="M20" s="56" t="s">
        <v>41</v>
      </c>
      <c r="N20" s="56" t="s">
        <v>42</v>
      </c>
      <c r="O20" s="55"/>
    </row>
    <row r="21" s="1" customFormat="1" ht="18" customHeight="1" spans="1:15">
      <c r="A21" s="35">
        <v>43678</v>
      </c>
      <c r="B21" s="36">
        <f t="shared" si="4"/>
        <v>1155339.81</v>
      </c>
      <c r="C21" s="39"/>
      <c r="D21" s="37" t="s">
        <v>38</v>
      </c>
      <c r="E21" s="38">
        <v>0.03</v>
      </c>
      <c r="F21" s="36">
        <f t="shared" si="5"/>
        <v>34660.19</v>
      </c>
      <c r="G21" s="30">
        <v>1190000</v>
      </c>
      <c r="H21" s="26">
        <v>43683</v>
      </c>
      <c r="I21" s="27">
        <v>1190000</v>
      </c>
      <c r="J21" s="51" t="s">
        <v>21</v>
      </c>
      <c r="K21" s="54" t="s">
        <v>43</v>
      </c>
      <c r="L21" s="55" t="s">
        <v>44</v>
      </c>
      <c r="M21" s="56"/>
      <c r="N21" s="56"/>
      <c r="O21" s="55"/>
    </row>
    <row r="22" s="1" customFormat="1" ht="18" customHeight="1" spans="1:15">
      <c r="A22" s="35">
        <v>43709</v>
      </c>
      <c r="B22" s="21">
        <f t="shared" si="4"/>
        <v>487699.12</v>
      </c>
      <c r="C22" s="39"/>
      <c r="D22" s="37" t="s">
        <v>38</v>
      </c>
      <c r="E22" s="38">
        <v>0.13</v>
      </c>
      <c r="F22" s="36">
        <f t="shared" si="5"/>
        <v>63400.88</v>
      </c>
      <c r="G22" s="30">
        <f>95700+99000*2+66000+92400+99000</f>
        <v>551100</v>
      </c>
      <c r="H22" s="26">
        <v>43718</v>
      </c>
      <c r="I22" s="57">
        <v>551100</v>
      </c>
      <c r="J22" s="51" t="s">
        <v>21</v>
      </c>
      <c r="K22" s="54" t="s">
        <v>39</v>
      </c>
      <c r="L22" s="55" t="s">
        <v>45</v>
      </c>
      <c r="M22" s="56" t="s">
        <v>41</v>
      </c>
      <c r="N22" s="56" t="s">
        <v>46</v>
      </c>
      <c r="O22" s="55"/>
    </row>
    <row r="23" s="1" customFormat="1" ht="18" customHeight="1" spans="1:15">
      <c r="A23" s="35">
        <v>43709</v>
      </c>
      <c r="B23" s="21">
        <f t="shared" si="4"/>
        <v>77981.65</v>
      </c>
      <c r="C23" s="39"/>
      <c r="D23" s="37" t="s">
        <v>38</v>
      </c>
      <c r="E23" s="38">
        <v>0.09</v>
      </c>
      <c r="F23" s="36">
        <f t="shared" si="5"/>
        <v>7018.35</v>
      </c>
      <c r="G23" s="30">
        <v>85000</v>
      </c>
      <c r="H23" s="26"/>
      <c r="I23" s="27"/>
      <c r="J23" s="51"/>
      <c r="K23" s="58" t="s">
        <v>47</v>
      </c>
      <c r="L23" s="55" t="s">
        <v>48</v>
      </c>
      <c r="M23" s="56"/>
      <c r="N23" s="56"/>
      <c r="O23" s="55"/>
    </row>
    <row r="24" s="1" customFormat="1" ht="18" customHeight="1" spans="1:15">
      <c r="A24" s="35"/>
      <c r="B24" s="21">
        <f t="shared" si="4"/>
        <v>0</v>
      </c>
      <c r="C24" s="39"/>
      <c r="D24" s="37"/>
      <c r="E24" s="40"/>
      <c r="F24" s="36">
        <f t="shared" si="5"/>
        <v>0</v>
      </c>
      <c r="G24" s="30"/>
      <c r="H24" s="26">
        <v>43851</v>
      </c>
      <c r="I24" s="27">
        <v>85000</v>
      </c>
      <c r="J24" s="51" t="s">
        <v>21</v>
      </c>
      <c r="K24" s="58" t="s">
        <v>49</v>
      </c>
      <c r="L24" s="55" t="s">
        <v>48</v>
      </c>
      <c r="M24" s="56"/>
      <c r="N24" s="56"/>
      <c r="O24" s="55"/>
    </row>
    <row r="25" s="2" customFormat="1" ht="18" customHeight="1" spans="1:15">
      <c r="A25" s="41">
        <v>43891</v>
      </c>
      <c r="B25" s="36">
        <f t="shared" si="4"/>
        <v>387610.62</v>
      </c>
      <c r="C25" s="42">
        <v>5</v>
      </c>
      <c r="D25" s="43" t="s">
        <v>38</v>
      </c>
      <c r="E25" s="40">
        <v>0.13</v>
      </c>
      <c r="F25" s="36">
        <f t="shared" si="5"/>
        <v>50389.38</v>
      </c>
      <c r="G25" s="30">
        <f>83422.36+92199+62519.24+99995.4+99864</f>
        <v>438000</v>
      </c>
      <c r="H25" s="44">
        <v>43852</v>
      </c>
      <c r="I25" s="29">
        <v>438000</v>
      </c>
      <c r="J25" s="59" t="s">
        <v>21</v>
      </c>
      <c r="K25" s="60" t="s">
        <v>50</v>
      </c>
      <c r="L25" s="61" t="s">
        <v>51</v>
      </c>
      <c r="M25" s="62"/>
      <c r="N25" s="63" t="s">
        <v>114</v>
      </c>
      <c r="O25" s="61"/>
    </row>
    <row r="26" s="2" customFormat="1" ht="18" customHeight="1" spans="1:15">
      <c r="A26" s="41">
        <v>43831</v>
      </c>
      <c r="B26" s="36">
        <f t="shared" si="4"/>
        <v>290265.49</v>
      </c>
      <c r="C26" s="42"/>
      <c r="D26" s="43" t="s">
        <v>38</v>
      </c>
      <c r="E26" s="40">
        <v>0.13</v>
      </c>
      <c r="F26" s="36">
        <f t="shared" si="5"/>
        <v>37734.51</v>
      </c>
      <c r="G26" s="30">
        <f>73800+82000+90200+82000</f>
        <v>328000</v>
      </c>
      <c r="H26" s="44">
        <v>43852</v>
      </c>
      <c r="I26" s="29">
        <v>328000</v>
      </c>
      <c r="J26" s="59" t="s">
        <v>21</v>
      </c>
      <c r="K26" s="60" t="s">
        <v>39</v>
      </c>
      <c r="L26" s="61" t="s">
        <v>52</v>
      </c>
      <c r="M26" s="62" t="s">
        <v>41</v>
      </c>
      <c r="N26" s="62" t="s">
        <v>41</v>
      </c>
      <c r="O26" s="61"/>
    </row>
    <row r="27" s="2" customFormat="1" ht="18" customHeight="1" spans="1:15">
      <c r="A27" s="41"/>
      <c r="B27" s="36">
        <f t="shared" si="4"/>
        <v>0</v>
      </c>
      <c r="C27" s="42"/>
      <c r="D27" s="43"/>
      <c r="E27" s="40"/>
      <c r="F27" s="36">
        <f t="shared" si="5"/>
        <v>0</v>
      </c>
      <c r="G27" s="30"/>
      <c r="H27" s="44">
        <v>43852</v>
      </c>
      <c r="I27" s="29">
        <v>916294</v>
      </c>
      <c r="J27" s="59" t="s">
        <v>22</v>
      </c>
      <c r="K27" s="60" t="s">
        <v>53</v>
      </c>
      <c r="L27" s="61" t="s">
        <v>54</v>
      </c>
      <c r="M27" s="62">
        <v>5138695.06</v>
      </c>
      <c r="N27" s="62"/>
      <c r="O27" s="61"/>
    </row>
    <row r="28" s="2" customFormat="1" ht="18" customHeight="1" spans="1:15">
      <c r="A28" s="41">
        <v>43891</v>
      </c>
      <c r="B28" s="36">
        <f t="shared" si="4"/>
        <v>2721460</v>
      </c>
      <c r="C28" s="42"/>
      <c r="D28" s="43" t="s">
        <v>37</v>
      </c>
      <c r="E28" s="40"/>
      <c r="F28" s="36">
        <f t="shared" si="5"/>
        <v>0</v>
      </c>
      <c r="G28" s="30">
        <f>100000*27+21460</f>
        <v>2721460</v>
      </c>
      <c r="H28" s="44">
        <v>43852</v>
      </c>
      <c r="I28" s="29">
        <v>980000</v>
      </c>
      <c r="J28" s="59" t="s">
        <v>21</v>
      </c>
      <c r="K28" s="60" t="s">
        <v>53</v>
      </c>
      <c r="L28" s="61" t="s">
        <v>54</v>
      </c>
      <c r="M28" s="62" t="s">
        <v>41</v>
      </c>
      <c r="N28" s="62"/>
      <c r="O28" s="61"/>
    </row>
    <row r="29" s="2" customFormat="1" ht="18" customHeight="1" spans="1:15">
      <c r="A29" s="41">
        <v>43891</v>
      </c>
      <c r="B29" s="36">
        <f t="shared" si="4"/>
        <v>240341.75</v>
      </c>
      <c r="C29" s="42">
        <v>25</v>
      </c>
      <c r="D29" s="43" t="s">
        <v>38</v>
      </c>
      <c r="E29" s="40">
        <v>0.03</v>
      </c>
      <c r="F29" s="36">
        <f t="shared" si="5"/>
        <v>7210.25</v>
      </c>
      <c r="G29" s="30">
        <f>7552+10000*24</f>
        <v>247552</v>
      </c>
      <c r="H29" s="44">
        <v>43852</v>
      </c>
      <c r="I29" s="29">
        <v>527552</v>
      </c>
      <c r="J29" s="59" t="s">
        <v>21</v>
      </c>
      <c r="K29" s="64" t="s">
        <v>43</v>
      </c>
      <c r="L29" s="61" t="s">
        <v>44</v>
      </c>
      <c r="M29" s="62"/>
      <c r="N29" s="62"/>
      <c r="O29" s="61"/>
    </row>
    <row r="30" s="2" customFormat="1" ht="18" customHeight="1" spans="1:15">
      <c r="A30" s="41"/>
      <c r="B30" s="36">
        <f t="shared" si="4"/>
        <v>0</v>
      </c>
      <c r="C30" s="42"/>
      <c r="D30" s="43"/>
      <c r="E30" s="40"/>
      <c r="F30" s="36">
        <f t="shared" si="5"/>
        <v>0</v>
      </c>
      <c r="G30" s="30"/>
      <c r="H30" s="44">
        <v>43900</v>
      </c>
      <c r="I30" s="29">
        <v>823772</v>
      </c>
      <c r="J30" s="59" t="s">
        <v>21</v>
      </c>
      <c r="K30" s="60" t="s">
        <v>53</v>
      </c>
      <c r="L30" s="61" t="s">
        <v>54</v>
      </c>
      <c r="M30" s="62" t="s">
        <v>41</v>
      </c>
      <c r="N30" s="62"/>
      <c r="O30" s="61"/>
    </row>
    <row r="31" s="2" customFormat="1" ht="18" customHeight="1" spans="1:15">
      <c r="A31" s="41"/>
      <c r="B31" s="36">
        <f t="shared" si="4"/>
        <v>0</v>
      </c>
      <c r="C31" s="42"/>
      <c r="D31" s="43"/>
      <c r="E31" s="40"/>
      <c r="F31" s="36">
        <f t="shared" si="5"/>
        <v>0</v>
      </c>
      <c r="G31" s="30"/>
      <c r="H31" s="44">
        <v>43972</v>
      </c>
      <c r="I31" s="29">
        <v>901394</v>
      </c>
      <c r="J31" s="59" t="s">
        <v>21</v>
      </c>
      <c r="K31" s="60" t="s">
        <v>53</v>
      </c>
      <c r="L31" s="61" t="s">
        <v>54</v>
      </c>
      <c r="M31" s="62" t="s">
        <v>41</v>
      </c>
      <c r="N31" s="62"/>
      <c r="O31" s="61"/>
    </row>
    <row r="32" s="2" customFormat="1" ht="18" customHeight="1" spans="1:15">
      <c r="A32" s="41"/>
      <c r="B32" s="36">
        <f t="shared" si="4"/>
        <v>0</v>
      </c>
      <c r="C32" s="42"/>
      <c r="D32" s="43"/>
      <c r="E32" s="40"/>
      <c r="F32" s="36">
        <f t="shared" si="5"/>
        <v>0</v>
      </c>
      <c r="G32" s="30"/>
      <c r="H32" s="44"/>
      <c r="I32" s="29"/>
      <c r="J32" s="59" t="s">
        <v>21</v>
      </c>
      <c r="K32" s="60" t="s">
        <v>39</v>
      </c>
      <c r="L32" s="61" t="s">
        <v>55</v>
      </c>
      <c r="M32" s="62"/>
      <c r="N32" s="62"/>
      <c r="O32" s="61"/>
    </row>
    <row r="33" s="2" customFormat="1" ht="18" customHeight="1" spans="1:15">
      <c r="A33" s="41">
        <v>43972</v>
      </c>
      <c r="B33" s="36">
        <f t="shared" si="4"/>
        <v>900000</v>
      </c>
      <c r="C33" s="42"/>
      <c r="D33" s="43" t="s">
        <v>37</v>
      </c>
      <c r="E33" s="40"/>
      <c r="F33" s="36">
        <f t="shared" si="5"/>
        <v>0</v>
      </c>
      <c r="G33" s="30">
        <v>900000</v>
      </c>
      <c r="H33" s="44"/>
      <c r="I33" s="29"/>
      <c r="J33" s="59"/>
      <c r="K33" s="60" t="s">
        <v>53</v>
      </c>
      <c r="L33" s="61" t="s">
        <v>54</v>
      </c>
      <c r="M33" s="62"/>
      <c r="N33" s="62"/>
      <c r="O33" s="61"/>
    </row>
    <row r="34" s="2" customFormat="1" ht="18" customHeight="1" spans="1:15">
      <c r="A34" s="41" t="s">
        <v>117</v>
      </c>
      <c r="B34" s="36">
        <f t="shared" si="4"/>
        <v>198320</v>
      </c>
      <c r="C34" s="42">
        <v>4</v>
      </c>
      <c r="D34" s="43" t="s">
        <v>56</v>
      </c>
      <c r="E34" s="40"/>
      <c r="F34" s="36">
        <f t="shared" si="5"/>
        <v>0</v>
      </c>
      <c r="G34" s="30">
        <v>198320</v>
      </c>
      <c r="H34" s="44">
        <v>43984</v>
      </c>
      <c r="I34" s="29">
        <v>198320</v>
      </c>
      <c r="J34" s="59" t="s">
        <v>57</v>
      </c>
      <c r="K34" s="60" t="s">
        <v>58</v>
      </c>
      <c r="L34" s="61" t="s">
        <v>110</v>
      </c>
      <c r="M34" s="62"/>
      <c r="N34" s="63" t="s">
        <v>114</v>
      </c>
      <c r="O34" s="61"/>
    </row>
    <row r="35" s="1" customFormat="1" ht="18" customHeight="1" spans="1:15">
      <c r="A35" s="35" t="s">
        <v>118</v>
      </c>
      <c r="B35" s="21">
        <f t="shared" si="4"/>
        <v>199640</v>
      </c>
      <c r="C35" s="39">
        <v>4</v>
      </c>
      <c r="D35" s="37" t="s">
        <v>108</v>
      </c>
      <c r="E35" s="38"/>
      <c r="F35" s="36">
        <f t="shared" si="5"/>
        <v>0</v>
      </c>
      <c r="G35" s="30">
        <f>49910*4</f>
        <v>199640</v>
      </c>
      <c r="H35" s="45"/>
      <c r="I35" s="65"/>
      <c r="J35" s="66"/>
      <c r="K35" s="67" t="s">
        <v>109</v>
      </c>
      <c r="L35" s="68" t="s">
        <v>110</v>
      </c>
      <c r="M35" s="56" t="s">
        <v>41</v>
      </c>
      <c r="N35" s="56" t="s">
        <v>41</v>
      </c>
      <c r="O35" s="55"/>
    </row>
    <row r="36" s="1" customFormat="1" ht="18" customHeight="1" spans="1:15">
      <c r="A36" s="35"/>
      <c r="B36" s="21">
        <f t="shared" si="4"/>
        <v>0</v>
      </c>
      <c r="C36" s="39"/>
      <c r="D36" s="37"/>
      <c r="E36" s="38"/>
      <c r="F36" s="36">
        <f t="shared" si="5"/>
        <v>0</v>
      </c>
      <c r="G36" s="30"/>
      <c r="H36" s="45">
        <v>44020</v>
      </c>
      <c r="I36" s="65">
        <v>49910</v>
      </c>
      <c r="J36" s="66" t="s">
        <v>57</v>
      </c>
      <c r="K36" s="67" t="s">
        <v>111</v>
      </c>
      <c r="L36" s="68"/>
      <c r="M36" s="56"/>
      <c r="N36" s="69"/>
      <c r="O36" s="55"/>
    </row>
    <row r="37" s="1" customFormat="1" ht="18" customHeight="1" spans="1:15">
      <c r="A37" s="35"/>
      <c r="B37" s="21">
        <f t="shared" si="4"/>
        <v>0</v>
      </c>
      <c r="C37" s="39"/>
      <c r="D37" s="37"/>
      <c r="E37" s="38"/>
      <c r="F37" s="36">
        <f t="shared" si="5"/>
        <v>0</v>
      </c>
      <c r="G37" s="30"/>
      <c r="H37" s="45">
        <v>44020</v>
      </c>
      <c r="I37" s="65">
        <v>49910</v>
      </c>
      <c r="J37" s="66" t="s">
        <v>57</v>
      </c>
      <c r="K37" s="67" t="s">
        <v>112</v>
      </c>
      <c r="L37" s="68"/>
      <c r="M37" s="56"/>
      <c r="N37" s="69"/>
      <c r="O37" s="55"/>
    </row>
    <row r="38" s="1" customFormat="1" ht="18" customHeight="1" spans="5:15">
      <c r="E38" s="38"/>
      <c r="F38" s="36">
        <f t="shared" si="5"/>
        <v>0</v>
      </c>
      <c r="G38" s="30"/>
      <c r="H38" s="44">
        <v>44050</v>
      </c>
      <c r="I38" s="29">
        <v>49910</v>
      </c>
      <c r="J38" s="59" t="s">
        <v>57</v>
      </c>
      <c r="K38" s="60" t="s">
        <v>115</v>
      </c>
      <c r="L38" s="68"/>
      <c r="M38" s="56"/>
      <c r="N38" s="69"/>
      <c r="O38" s="55"/>
    </row>
    <row r="39" s="1" customFormat="1" ht="18" customHeight="1" spans="1:15">
      <c r="A39" s="41" t="s">
        <v>119</v>
      </c>
      <c r="B39" s="36">
        <f>ROUND(G39/(1+E39),2)</f>
        <v>199640</v>
      </c>
      <c r="C39" s="42">
        <v>4</v>
      </c>
      <c r="D39" s="43" t="s">
        <v>108</v>
      </c>
      <c r="E39" s="38"/>
      <c r="F39" s="36">
        <f t="shared" si="5"/>
        <v>0</v>
      </c>
      <c r="G39" s="30">
        <v>199640</v>
      </c>
      <c r="H39" s="44"/>
      <c r="I39" s="29"/>
      <c r="J39" s="59"/>
      <c r="K39" s="60" t="s">
        <v>109</v>
      </c>
      <c r="L39" s="68" t="s">
        <v>120</v>
      </c>
      <c r="M39" s="56"/>
      <c r="N39" s="56" t="s">
        <v>114</v>
      </c>
      <c r="O39" s="55"/>
    </row>
    <row r="40" s="1" customFormat="1" ht="18" customHeight="1" spans="1:15">
      <c r="A40" s="41" t="s">
        <v>121</v>
      </c>
      <c r="B40" s="36">
        <f>ROUND(G40/(1+E40),2)</f>
        <v>199640</v>
      </c>
      <c r="C40" s="42">
        <v>4</v>
      </c>
      <c r="D40" s="43" t="s">
        <v>108</v>
      </c>
      <c r="E40" s="38"/>
      <c r="F40" s="36">
        <f t="shared" si="5"/>
        <v>0</v>
      </c>
      <c r="G40" s="30">
        <v>199640</v>
      </c>
      <c r="H40" s="44"/>
      <c r="I40" s="29"/>
      <c r="J40" s="59"/>
      <c r="K40" s="60" t="s">
        <v>109</v>
      </c>
      <c r="L40" s="68" t="s">
        <v>120</v>
      </c>
      <c r="M40" s="56"/>
      <c r="N40" s="56" t="s">
        <v>114</v>
      </c>
      <c r="O40" s="55"/>
    </row>
    <row r="41" s="1" customFormat="1" ht="18" customHeight="1" spans="1:15">
      <c r="A41" s="41" t="s">
        <v>122</v>
      </c>
      <c r="B41" s="36">
        <v>199640</v>
      </c>
      <c r="C41" s="42">
        <v>4</v>
      </c>
      <c r="D41" s="43" t="s">
        <v>108</v>
      </c>
      <c r="E41" s="38"/>
      <c r="F41" s="36">
        <f t="shared" si="5"/>
        <v>0</v>
      </c>
      <c r="G41" s="30">
        <v>199640</v>
      </c>
      <c r="H41" s="44"/>
      <c r="I41" s="29"/>
      <c r="J41" s="59"/>
      <c r="K41" s="60" t="s">
        <v>109</v>
      </c>
      <c r="L41" s="68" t="s">
        <v>120</v>
      </c>
      <c r="M41" s="56"/>
      <c r="N41" s="56" t="s">
        <v>114</v>
      </c>
      <c r="O41" s="55"/>
    </row>
    <row r="42" s="1" customFormat="1" ht="18" customHeight="1" spans="1:15">
      <c r="A42" s="35"/>
      <c r="B42" s="21"/>
      <c r="C42" s="39"/>
      <c r="D42" s="37"/>
      <c r="E42" s="38"/>
      <c r="F42" s="36">
        <f t="shared" ref="F42:F75" si="6">ROUND(G42/(1+E42)*E42,2)</f>
        <v>0</v>
      </c>
      <c r="G42" s="30"/>
      <c r="H42" s="44">
        <v>44123</v>
      </c>
      <c r="I42" s="29">
        <v>149730</v>
      </c>
      <c r="J42" s="59"/>
      <c r="K42" s="60" t="s">
        <v>111</v>
      </c>
      <c r="L42" s="61"/>
      <c r="M42" s="62"/>
      <c r="N42" s="56"/>
      <c r="O42" s="55"/>
    </row>
    <row r="43" s="1" customFormat="1" ht="18" customHeight="1" spans="1:15">
      <c r="A43" s="35"/>
      <c r="B43" s="21"/>
      <c r="C43" s="39"/>
      <c r="D43" s="37"/>
      <c r="E43" s="38"/>
      <c r="F43" s="36">
        <f t="shared" si="6"/>
        <v>0</v>
      </c>
      <c r="G43" s="30"/>
      <c r="H43" s="44">
        <v>44123</v>
      </c>
      <c r="I43" s="29">
        <v>199640</v>
      </c>
      <c r="J43" s="59"/>
      <c r="K43" s="60" t="s">
        <v>125</v>
      </c>
      <c r="L43" s="61"/>
      <c r="M43" s="62"/>
      <c r="N43" s="56"/>
      <c r="O43" s="55"/>
    </row>
    <row r="44" s="1" customFormat="1" ht="18" customHeight="1" spans="1:15">
      <c r="A44" s="35"/>
      <c r="B44" s="21"/>
      <c r="C44" s="39"/>
      <c r="D44" s="37"/>
      <c r="E44" s="38"/>
      <c r="F44" s="36">
        <f t="shared" si="6"/>
        <v>0</v>
      </c>
      <c r="G44" s="30"/>
      <c r="H44" s="44">
        <v>44123</v>
      </c>
      <c r="I44" s="29">
        <v>149730</v>
      </c>
      <c r="J44" s="59"/>
      <c r="K44" s="60" t="s">
        <v>115</v>
      </c>
      <c r="L44" s="61"/>
      <c r="M44" s="62"/>
      <c r="N44" s="56"/>
      <c r="O44" s="55"/>
    </row>
    <row r="45" s="1" customFormat="1" ht="18" customHeight="1" spans="1:15">
      <c r="A45" s="35"/>
      <c r="B45" s="21"/>
      <c r="C45" s="39"/>
      <c r="D45" s="37"/>
      <c r="E45" s="38"/>
      <c r="F45" s="36">
        <f t="shared" si="6"/>
        <v>0</v>
      </c>
      <c r="G45" s="30"/>
      <c r="H45" s="44">
        <v>44123</v>
      </c>
      <c r="I45" s="29">
        <v>149730</v>
      </c>
      <c r="J45" s="59"/>
      <c r="K45" s="60" t="s">
        <v>112</v>
      </c>
      <c r="L45" s="61"/>
      <c r="M45" s="62"/>
      <c r="N45" s="56"/>
      <c r="O45" s="55"/>
    </row>
    <row r="46" s="1" customFormat="1" ht="18" customHeight="1" spans="1:15">
      <c r="A46" s="35" t="s">
        <v>126</v>
      </c>
      <c r="B46" s="21">
        <f t="shared" ref="B46:B62" si="7">G46</f>
        <v>400000</v>
      </c>
      <c r="C46" s="39"/>
      <c r="D46" s="37" t="s">
        <v>37</v>
      </c>
      <c r="E46" s="38"/>
      <c r="F46" s="36">
        <f t="shared" si="6"/>
        <v>0</v>
      </c>
      <c r="G46" s="30">
        <v>400000</v>
      </c>
      <c r="H46" s="44">
        <v>44123</v>
      </c>
      <c r="I46" s="29">
        <v>400000</v>
      </c>
      <c r="J46" s="59"/>
      <c r="K46" s="60" t="s">
        <v>53</v>
      </c>
      <c r="L46" s="61" t="s">
        <v>54</v>
      </c>
      <c r="M46" s="62"/>
      <c r="N46" s="56"/>
      <c r="O46" s="55"/>
    </row>
    <row r="47" s="1" customFormat="1" ht="18" customHeight="1" spans="1:15">
      <c r="A47" s="35"/>
      <c r="B47" s="21">
        <f t="shared" si="7"/>
        <v>0</v>
      </c>
      <c r="C47" s="39"/>
      <c r="D47" s="37"/>
      <c r="E47" s="38"/>
      <c r="F47" s="36">
        <f t="shared" si="6"/>
        <v>0</v>
      </c>
      <c r="G47" s="30"/>
      <c r="H47" s="44">
        <v>44123</v>
      </c>
      <c r="I47" s="29">
        <v>200000</v>
      </c>
      <c r="J47" s="59"/>
      <c r="K47" s="60" t="s">
        <v>39</v>
      </c>
      <c r="L47" s="61" t="s">
        <v>55</v>
      </c>
      <c r="M47" s="62"/>
      <c r="N47" s="56"/>
      <c r="O47" s="55"/>
    </row>
    <row r="48" s="1" customFormat="1" ht="18" customHeight="1" spans="1:15">
      <c r="A48" s="35" t="s">
        <v>132</v>
      </c>
      <c r="B48" s="21">
        <f t="shared" si="7"/>
        <v>149730</v>
      </c>
      <c r="C48" s="39">
        <v>3</v>
      </c>
      <c r="D48" s="37" t="s">
        <v>37</v>
      </c>
      <c r="E48" s="38"/>
      <c r="F48" s="36">
        <f t="shared" si="6"/>
        <v>0</v>
      </c>
      <c r="G48" s="30">
        <v>149730</v>
      </c>
      <c r="H48" s="44"/>
      <c r="I48" s="29"/>
      <c r="J48" s="59"/>
      <c r="K48" s="60" t="s">
        <v>133</v>
      </c>
      <c r="L48" s="61" t="s">
        <v>134</v>
      </c>
      <c r="M48" s="62"/>
      <c r="N48" s="56"/>
      <c r="O48" s="55"/>
    </row>
    <row r="49" s="1" customFormat="1" ht="18" customHeight="1" spans="1:15">
      <c r="A49" s="35" t="s">
        <v>135</v>
      </c>
      <c r="B49" s="21">
        <f t="shared" si="7"/>
        <v>362880</v>
      </c>
      <c r="C49" s="39">
        <v>1</v>
      </c>
      <c r="D49" s="37" t="s">
        <v>37</v>
      </c>
      <c r="E49" s="38"/>
      <c r="F49" s="36">
        <f t="shared" si="6"/>
        <v>0</v>
      </c>
      <c r="G49" s="30">
        <v>362880</v>
      </c>
      <c r="H49" s="44">
        <v>44140</v>
      </c>
      <c r="I49" s="29">
        <v>362880</v>
      </c>
      <c r="J49" s="59" t="s">
        <v>22</v>
      </c>
      <c r="K49" s="60" t="s">
        <v>53</v>
      </c>
      <c r="L49" s="60" t="s">
        <v>136</v>
      </c>
      <c r="M49" s="62"/>
      <c r="N49" s="56"/>
      <c r="O49" s="55"/>
    </row>
    <row r="50" s="2" customFormat="1" ht="18" customHeight="1" spans="1:15">
      <c r="A50" s="41" t="s">
        <v>138</v>
      </c>
      <c r="B50" s="21">
        <f t="shared" si="7"/>
        <v>49910</v>
      </c>
      <c r="C50" s="42">
        <v>1</v>
      </c>
      <c r="D50" s="43" t="s">
        <v>139</v>
      </c>
      <c r="E50" s="38"/>
      <c r="F50" s="36">
        <f t="shared" si="6"/>
        <v>0</v>
      </c>
      <c r="G50" s="30">
        <v>49910</v>
      </c>
      <c r="H50" s="44">
        <v>44146</v>
      </c>
      <c r="I50" s="29">
        <v>49910</v>
      </c>
      <c r="J50" s="59" t="s">
        <v>21</v>
      </c>
      <c r="K50" s="60" t="s">
        <v>111</v>
      </c>
      <c r="L50" s="61" t="s">
        <v>140</v>
      </c>
      <c r="M50" s="62"/>
      <c r="N50" s="62"/>
      <c r="O50" s="61"/>
    </row>
    <row r="51" s="2" customFormat="1" ht="18" customHeight="1" spans="1:15">
      <c r="A51" s="41" t="s">
        <v>138</v>
      </c>
      <c r="B51" s="21">
        <f t="shared" si="7"/>
        <v>49910</v>
      </c>
      <c r="C51" s="39">
        <v>1</v>
      </c>
      <c r="D51" s="43" t="s">
        <v>139</v>
      </c>
      <c r="E51" s="38"/>
      <c r="F51" s="36">
        <f t="shared" si="6"/>
        <v>0</v>
      </c>
      <c r="G51" s="30">
        <v>49910</v>
      </c>
      <c r="H51" s="44">
        <v>44146</v>
      </c>
      <c r="I51" s="29">
        <v>49910</v>
      </c>
      <c r="J51" s="59" t="s">
        <v>21</v>
      </c>
      <c r="K51" s="60" t="s">
        <v>115</v>
      </c>
      <c r="L51" s="61" t="s">
        <v>141</v>
      </c>
      <c r="M51" s="62"/>
      <c r="N51" s="62"/>
      <c r="O51" s="61"/>
    </row>
    <row r="52" s="2" customFormat="1" ht="18" customHeight="1" spans="1:15">
      <c r="A52" s="41" t="s">
        <v>138</v>
      </c>
      <c r="B52" s="21">
        <f t="shared" si="7"/>
        <v>49910</v>
      </c>
      <c r="C52" s="42">
        <v>1</v>
      </c>
      <c r="D52" s="43" t="s">
        <v>139</v>
      </c>
      <c r="E52" s="38"/>
      <c r="F52" s="36">
        <f t="shared" si="6"/>
        <v>0</v>
      </c>
      <c r="G52" s="30">
        <v>49910</v>
      </c>
      <c r="H52" s="44">
        <v>44146</v>
      </c>
      <c r="I52" s="29">
        <v>49910</v>
      </c>
      <c r="J52" s="59" t="s">
        <v>21</v>
      </c>
      <c r="K52" s="60" t="s">
        <v>112</v>
      </c>
      <c r="L52" s="61" t="s">
        <v>141</v>
      </c>
      <c r="M52" s="62"/>
      <c r="N52" s="62"/>
      <c r="O52" s="61"/>
    </row>
    <row r="53" s="2" customFormat="1" ht="18" customHeight="1" spans="1:15">
      <c r="A53" s="41" t="s">
        <v>138</v>
      </c>
      <c r="B53" s="21">
        <f t="shared" si="7"/>
        <v>49910</v>
      </c>
      <c r="C53" s="39">
        <v>1</v>
      </c>
      <c r="D53" s="43" t="s">
        <v>139</v>
      </c>
      <c r="E53" s="38"/>
      <c r="F53" s="36">
        <f t="shared" si="6"/>
        <v>0</v>
      </c>
      <c r="G53" s="30">
        <v>49910</v>
      </c>
      <c r="H53" s="44"/>
      <c r="I53" s="29"/>
      <c r="J53" s="59"/>
      <c r="K53" s="60" t="s">
        <v>125</v>
      </c>
      <c r="L53" s="61" t="s">
        <v>141</v>
      </c>
      <c r="M53" s="62"/>
      <c r="N53" s="62"/>
      <c r="O53" s="61"/>
    </row>
    <row r="54" s="2" customFormat="1" ht="18" customHeight="1" spans="1:15">
      <c r="A54" s="41" t="s">
        <v>138</v>
      </c>
      <c r="B54" s="21">
        <f t="shared" si="7"/>
        <v>50000</v>
      </c>
      <c r="C54" s="42">
        <v>1</v>
      </c>
      <c r="D54" s="43" t="s">
        <v>139</v>
      </c>
      <c r="E54" s="38"/>
      <c r="F54" s="36">
        <f t="shared" si="6"/>
        <v>0</v>
      </c>
      <c r="G54" s="30">
        <v>50000</v>
      </c>
      <c r="H54" s="44"/>
      <c r="I54" s="29"/>
      <c r="J54" s="59"/>
      <c r="K54" s="60" t="s">
        <v>142</v>
      </c>
      <c r="L54" s="61" t="s">
        <v>143</v>
      </c>
      <c r="M54" s="62"/>
      <c r="N54" s="62"/>
      <c r="O54" s="61"/>
    </row>
    <row r="55" s="2" customFormat="1" ht="18" customHeight="1" spans="1:15">
      <c r="A55" s="41" t="s">
        <v>138</v>
      </c>
      <c r="B55" s="21">
        <f t="shared" si="7"/>
        <v>50000</v>
      </c>
      <c r="C55" s="39">
        <v>1</v>
      </c>
      <c r="D55" s="43" t="s">
        <v>139</v>
      </c>
      <c r="E55" s="38"/>
      <c r="F55" s="36">
        <f t="shared" si="6"/>
        <v>0</v>
      </c>
      <c r="G55" s="30">
        <v>50000</v>
      </c>
      <c r="H55" s="44"/>
      <c r="I55" s="29"/>
      <c r="J55" s="59"/>
      <c r="K55" s="60" t="s">
        <v>144</v>
      </c>
      <c r="L55" s="61" t="s">
        <v>143</v>
      </c>
      <c r="M55" s="62"/>
      <c r="N55" s="62"/>
      <c r="O55" s="61"/>
    </row>
    <row r="56" s="2" customFormat="1" ht="18" customHeight="1" spans="1:15">
      <c r="A56" s="41" t="s">
        <v>138</v>
      </c>
      <c r="B56" s="21">
        <f t="shared" si="7"/>
        <v>50000</v>
      </c>
      <c r="C56" s="42">
        <v>1</v>
      </c>
      <c r="D56" s="43" t="s">
        <v>139</v>
      </c>
      <c r="E56" s="38"/>
      <c r="F56" s="36">
        <f t="shared" si="6"/>
        <v>0</v>
      </c>
      <c r="G56" s="30">
        <v>50000</v>
      </c>
      <c r="H56" s="44"/>
      <c r="I56" s="29"/>
      <c r="J56" s="59"/>
      <c r="K56" s="60" t="s">
        <v>145</v>
      </c>
      <c r="L56" s="61" t="s">
        <v>140</v>
      </c>
      <c r="M56" s="62"/>
      <c r="N56" s="62"/>
      <c r="O56" s="61"/>
    </row>
    <row r="57" s="2" customFormat="1" ht="18" customHeight="1" spans="1:15">
      <c r="A57" s="41" t="s">
        <v>138</v>
      </c>
      <c r="B57" s="21">
        <f t="shared" si="7"/>
        <v>50000</v>
      </c>
      <c r="C57" s="39">
        <v>1</v>
      </c>
      <c r="D57" s="43" t="s">
        <v>139</v>
      </c>
      <c r="E57" s="38"/>
      <c r="F57" s="36">
        <f t="shared" si="6"/>
        <v>0</v>
      </c>
      <c r="G57" s="30">
        <v>50000</v>
      </c>
      <c r="H57" s="44"/>
      <c r="I57" s="29"/>
      <c r="J57" s="59"/>
      <c r="K57" s="60" t="s">
        <v>111</v>
      </c>
      <c r="L57" s="61" t="s">
        <v>143</v>
      </c>
      <c r="M57" s="62"/>
      <c r="N57" s="62"/>
      <c r="O57" s="61"/>
    </row>
    <row r="58" s="2" customFormat="1" ht="18" customHeight="1" spans="1:15">
      <c r="A58" s="41" t="s">
        <v>146</v>
      </c>
      <c r="B58" s="21">
        <f t="shared" si="7"/>
        <v>49910</v>
      </c>
      <c r="C58" s="42">
        <v>1</v>
      </c>
      <c r="D58" s="43" t="s">
        <v>139</v>
      </c>
      <c r="E58" s="38"/>
      <c r="F58" s="36">
        <f t="shared" si="6"/>
        <v>0</v>
      </c>
      <c r="G58" s="30">
        <v>49910</v>
      </c>
      <c r="H58" s="44"/>
      <c r="I58" s="29"/>
      <c r="J58" s="59"/>
      <c r="K58" s="60" t="s">
        <v>125</v>
      </c>
      <c r="L58" s="61" t="s">
        <v>141</v>
      </c>
      <c r="M58" s="62"/>
      <c r="N58" s="62"/>
      <c r="O58" s="61"/>
    </row>
    <row r="59" s="2" customFormat="1" ht="18" customHeight="1" spans="1:15">
      <c r="A59" s="41"/>
      <c r="B59" s="21">
        <f t="shared" si="7"/>
        <v>0</v>
      </c>
      <c r="C59" s="42"/>
      <c r="D59" s="43"/>
      <c r="E59" s="38"/>
      <c r="F59" s="36">
        <f t="shared" si="6"/>
        <v>0</v>
      </c>
      <c r="G59" s="30"/>
      <c r="H59" s="46">
        <v>44224</v>
      </c>
      <c r="I59" s="70">
        <v>49910</v>
      </c>
      <c r="J59" s="71" t="s">
        <v>21</v>
      </c>
      <c r="K59" s="72" t="s">
        <v>111</v>
      </c>
      <c r="L59" s="61"/>
      <c r="M59" s="62"/>
      <c r="N59" s="62"/>
      <c r="O59" s="61"/>
    </row>
    <row r="60" s="2" customFormat="1" ht="18" customHeight="1" spans="1:15">
      <c r="A60" s="41" t="s">
        <v>147</v>
      </c>
      <c r="B60" s="21">
        <f t="shared" si="7"/>
        <v>17000</v>
      </c>
      <c r="C60" s="42"/>
      <c r="D60" s="43" t="s">
        <v>139</v>
      </c>
      <c r="E60" s="38"/>
      <c r="F60" s="36">
        <f t="shared" si="6"/>
        <v>0</v>
      </c>
      <c r="G60" s="30">
        <v>17000</v>
      </c>
      <c r="H60" s="46">
        <v>44224</v>
      </c>
      <c r="I60" s="70">
        <v>65710</v>
      </c>
      <c r="J60" s="71" t="s">
        <v>21</v>
      </c>
      <c r="K60" s="72" t="s">
        <v>115</v>
      </c>
      <c r="L60" s="61"/>
      <c r="M60" s="62"/>
      <c r="N60" s="62"/>
      <c r="O60" s="61"/>
    </row>
    <row r="61" s="2" customFormat="1" ht="18" customHeight="1" spans="1:15">
      <c r="A61" s="41"/>
      <c r="B61" s="21">
        <f t="shared" si="7"/>
        <v>0</v>
      </c>
      <c r="C61" s="42"/>
      <c r="D61" s="43"/>
      <c r="E61" s="47"/>
      <c r="F61" s="36">
        <f t="shared" si="6"/>
        <v>0</v>
      </c>
      <c r="G61" s="30"/>
      <c r="H61" s="46">
        <v>44224</v>
      </c>
      <c r="I61" s="70">
        <v>49910</v>
      </c>
      <c r="J61" s="71" t="s">
        <v>21</v>
      </c>
      <c r="K61" s="72" t="s">
        <v>112</v>
      </c>
      <c r="L61" s="61"/>
      <c r="M61" s="62"/>
      <c r="N61" s="62"/>
      <c r="O61" s="61"/>
    </row>
    <row r="62" s="2" customFormat="1" ht="18" customHeight="1" spans="1:15">
      <c r="A62" s="41"/>
      <c r="B62" s="36"/>
      <c r="C62" s="42"/>
      <c r="D62" s="43"/>
      <c r="E62" s="47"/>
      <c r="F62" s="36"/>
      <c r="G62" s="30"/>
      <c r="H62" s="44"/>
      <c r="I62" s="29"/>
      <c r="J62" s="59"/>
      <c r="K62" s="60"/>
      <c r="L62" s="61"/>
      <c r="M62" s="62"/>
      <c r="N62" s="62"/>
      <c r="O62" s="61"/>
    </row>
    <row r="63" s="2" customFormat="1" ht="18" customHeight="1" spans="1:15">
      <c r="A63" s="41"/>
      <c r="B63" s="36"/>
      <c r="C63" s="42"/>
      <c r="D63" s="43"/>
      <c r="E63" s="47"/>
      <c r="F63" s="36">
        <f t="shared" ref="F62:F70" si="8">ROUND(G63/(1+E63)*E63,2)</f>
        <v>0</v>
      </c>
      <c r="G63" s="30"/>
      <c r="H63" s="44"/>
      <c r="I63" s="29"/>
      <c r="J63" s="59"/>
      <c r="K63" s="60"/>
      <c r="L63" s="61"/>
      <c r="M63" s="62"/>
      <c r="N63" s="62"/>
      <c r="O63" s="61"/>
    </row>
    <row r="64" s="2" customFormat="1" ht="18" customHeight="1" spans="1:15">
      <c r="A64" s="41"/>
      <c r="B64" s="36"/>
      <c r="C64" s="42"/>
      <c r="D64" s="43"/>
      <c r="E64" s="47"/>
      <c r="F64" s="36">
        <f t="shared" si="8"/>
        <v>0</v>
      </c>
      <c r="G64" s="30"/>
      <c r="H64" s="44"/>
      <c r="I64" s="29"/>
      <c r="J64" s="59"/>
      <c r="K64" s="60"/>
      <c r="L64" s="61"/>
      <c r="M64" s="62"/>
      <c r="N64" s="62"/>
      <c r="O64" s="61"/>
    </row>
    <row r="65" s="2" customFormat="1" ht="18" customHeight="1" spans="1:15">
      <c r="A65" s="41"/>
      <c r="B65" s="36"/>
      <c r="C65" s="42"/>
      <c r="D65" s="43"/>
      <c r="E65" s="47"/>
      <c r="F65" s="36">
        <f t="shared" si="8"/>
        <v>0</v>
      </c>
      <c r="G65" s="30"/>
      <c r="H65" s="44"/>
      <c r="I65" s="29"/>
      <c r="J65" s="59"/>
      <c r="K65" s="60"/>
      <c r="L65" s="61"/>
      <c r="M65" s="62"/>
      <c r="N65" s="62"/>
      <c r="O65" s="61"/>
    </row>
    <row r="66" s="2" customFormat="1" ht="18" customHeight="1" spans="1:15">
      <c r="A66" s="41"/>
      <c r="B66" s="36"/>
      <c r="C66" s="42"/>
      <c r="D66" s="43"/>
      <c r="E66" s="47"/>
      <c r="F66" s="36">
        <f t="shared" si="8"/>
        <v>0</v>
      </c>
      <c r="G66" s="30"/>
      <c r="H66" s="44"/>
      <c r="I66" s="29"/>
      <c r="J66" s="59"/>
      <c r="K66" s="60"/>
      <c r="L66" s="61"/>
      <c r="M66" s="62"/>
      <c r="N66" s="62"/>
      <c r="O66" s="61"/>
    </row>
    <row r="67" s="2" customFormat="1" ht="18" customHeight="1" spans="1:15">
      <c r="A67" s="41"/>
      <c r="B67" s="21">
        <f>G67</f>
        <v>0</v>
      </c>
      <c r="C67" s="42"/>
      <c r="D67" s="43"/>
      <c r="E67" s="47"/>
      <c r="F67" s="36">
        <f t="shared" si="8"/>
        <v>0</v>
      </c>
      <c r="G67" s="30"/>
      <c r="H67" s="44"/>
      <c r="I67" s="29"/>
      <c r="J67" s="59"/>
      <c r="K67" s="60"/>
      <c r="L67" s="61"/>
      <c r="M67" s="62"/>
      <c r="N67" s="62"/>
      <c r="O67" s="61"/>
    </row>
    <row r="68" s="2" customFormat="1" ht="18" customHeight="1" spans="1:15">
      <c r="A68" s="41"/>
      <c r="B68" s="21"/>
      <c r="C68" s="42"/>
      <c r="D68" s="43"/>
      <c r="E68" s="47"/>
      <c r="F68" s="36">
        <f t="shared" si="8"/>
        <v>0</v>
      </c>
      <c r="G68" s="30"/>
      <c r="H68" s="44"/>
      <c r="I68" s="29"/>
      <c r="J68" s="59"/>
      <c r="K68" s="60"/>
      <c r="L68" s="61"/>
      <c r="M68" s="62"/>
      <c r="N68" s="62"/>
      <c r="O68" s="61"/>
    </row>
    <row r="69" s="2" customFormat="1" ht="18" customHeight="1" spans="1:15">
      <c r="A69" s="41"/>
      <c r="B69" s="21"/>
      <c r="C69" s="42"/>
      <c r="D69" s="43"/>
      <c r="E69" s="38"/>
      <c r="F69" s="36">
        <f t="shared" si="8"/>
        <v>0</v>
      </c>
      <c r="G69" s="30"/>
      <c r="H69" s="44"/>
      <c r="I69" s="29"/>
      <c r="J69" s="59"/>
      <c r="K69" s="60"/>
      <c r="L69" s="61"/>
      <c r="M69" s="62"/>
      <c r="N69" s="62"/>
      <c r="O69" s="61"/>
    </row>
    <row r="70" s="2" customFormat="1" ht="18" customHeight="1" spans="1:15">
      <c r="A70" s="41"/>
      <c r="B70" s="21"/>
      <c r="C70" s="42"/>
      <c r="D70" s="43"/>
      <c r="E70" s="38"/>
      <c r="F70" s="36">
        <f t="shared" si="8"/>
        <v>0</v>
      </c>
      <c r="G70" s="30"/>
      <c r="H70" s="44"/>
      <c r="I70" s="29"/>
      <c r="J70" s="59"/>
      <c r="K70" s="60"/>
      <c r="L70" s="61"/>
      <c r="M70" s="62"/>
      <c r="N70" s="62"/>
      <c r="O70" s="61"/>
    </row>
    <row r="71" s="2" customFormat="1" ht="18" customHeight="1" spans="1:15">
      <c r="A71" s="41"/>
      <c r="B71" s="21">
        <f t="shared" ref="B71:B83" si="9">G71</f>
        <v>0</v>
      </c>
      <c r="C71" s="42"/>
      <c r="D71" s="43"/>
      <c r="E71" s="38"/>
      <c r="F71" s="36">
        <f t="shared" ref="F71:F83" si="10">ROUND(G71/(1+E71)*E71,2)</f>
        <v>0</v>
      </c>
      <c r="G71" s="30"/>
      <c r="H71" s="44"/>
      <c r="I71" s="29"/>
      <c r="J71" s="59"/>
      <c r="K71" s="60"/>
      <c r="L71" s="61"/>
      <c r="M71" s="62"/>
      <c r="N71" s="62"/>
      <c r="O71" s="61"/>
    </row>
    <row r="72" s="2" customFormat="1" ht="18" customHeight="1" spans="1:15">
      <c r="A72" s="41"/>
      <c r="B72" s="21">
        <f t="shared" si="9"/>
        <v>0</v>
      </c>
      <c r="C72" s="42"/>
      <c r="D72" s="43"/>
      <c r="E72" s="38"/>
      <c r="F72" s="36">
        <f t="shared" si="10"/>
        <v>0</v>
      </c>
      <c r="G72" s="30"/>
      <c r="H72" s="46">
        <v>44224</v>
      </c>
      <c r="I72" s="70">
        <v>150</v>
      </c>
      <c r="J72" s="101" t="s">
        <v>59</v>
      </c>
      <c r="K72" s="72" t="s">
        <v>60</v>
      </c>
      <c r="L72" s="61"/>
      <c r="M72" s="62"/>
      <c r="N72" s="62"/>
      <c r="O72" s="61"/>
    </row>
    <row r="73" s="2" customFormat="1" ht="18" customHeight="1" spans="1:15">
      <c r="A73" s="41"/>
      <c r="B73" s="21">
        <f t="shared" si="9"/>
        <v>0</v>
      </c>
      <c r="C73" s="42"/>
      <c r="D73" s="43"/>
      <c r="E73" s="38"/>
      <c r="F73" s="36">
        <f t="shared" si="10"/>
        <v>0</v>
      </c>
      <c r="G73" s="30"/>
      <c r="H73" s="46">
        <v>44224</v>
      </c>
      <c r="I73" s="70">
        <v>6000</v>
      </c>
      <c r="J73" s="71" t="s">
        <v>59</v>
      </c>
      <c r="K73" s="72" t="s">
        <v>148</v>
      </c>
      <c r="L73" s="61"/>
      <c r="M73" s="62"/>
      <c r="N73" s="62"/>
      <c r="O73" s="61"/>
    </row>
    <row r="74" s="2" customFormat="1" ht="18" customHeight="1" spans="1:15">
      <c r="A74" s="41"/>
      <c r="B74" s="21">
        <f t="shared" si="9"/>
        <v>0</v>
      </c>
      <c r="C74" s="42"/>
      <c r="D74" s="43"/>
      <c r="E74" s="38"/>
      <c r="F74" s="36">
        <f t="shared" si="10"/>
        <v>0</v>
      </c>
      <c r="G74" s="30"/>
      <c r="H74" s="46">
        <v>44224</v>
      </c>
      <c r="I74" s="70">
        <v>165</v>
      </c>
      <c r="J74" s="101" t="s">
        <v>59</v>
      </c>
      <c r="K74" s="72" t="s">
        <v>149</v>
      </c>
      <c r="L74" s="61"/>
      <c r="M74" s="62"/>
      <c r="N74" s="62"/>
      <c r="O74" s="61"/>
    </row>
    <row r="75" s="2" customFormat="1" ht="18" customHeight="1" spans="1:15">
      <c r="A75" s="41"/>
      <c r="B75" s="21">
        <f t="shared" si="9"/>
        <v>0</v>
      </c>
      <c r="C75" s="42"/>
      <c r="D75" s="43"/>
      <c r="E75" s="38"/>
      <c r="F75" s="36">
        <f t="shared" si="10"/>
        <v>0</v>
      </c>
      <c r="G75" s="30"/>
      <c r="H75" s="46">
        <v>44224</v>
      </c>
      <c r="I75" s="70">
        <v>21193</v>
      </c>
      <c r="J75" s="101" t="s">
        <v>59</v>
      </c>
      <c r="K75" s="72" t="s">
        <v>150</v>
      </c>
      <c r="L75" s="61"/>
      <c r="M75" s="62"/>
      <c r="N75" s="62"/>
      <c r="O75" s="61"/>
    </row>
    <row r="76" s="2" customFormat="1" ht="18" customHeight="1" spans="1:15">
      <c r="A76" s="41"/>
      <c r="B76" s="21">
        <f t="shared" si="9"/>
        <v>0</v>
      </c>
      <c r="C76" s="42"/>
      <c r="D76" s="43"/>
      <c r="E76" s="38"/>
      <c r="F76" s="36">
        <f t="shared" si="10"/>
        <v>0</v>
      </c>
      <c r="G76" s="30"/>
      <c r="H76" s="46">
        <v>44224</v>
      </c>
      <c r="I76" s="70">
        <v>128379</v>
      </c>
      <c r="J76" s="101" t="s">
        <v>59</v>
      </c>
      <c r="K76" s="72" t="s">
        <v>151</v>
      </c>
      <c r="L76" s="61"/>
      <c r="M76" s="62"/>
      <c r="N76" s="62"/>
      <c r="O76" s="61"/>
    </row>
    <row r="77" s="2" customFormat="1" ht="18" customHeight="1" spans="1:15">
      <c r="A77" s="41"/>
      <c r="B77" s="21">
        <f t="shared" si="9"/>
        <v>0</v>
      </c>
      <c r="C77" s="42"/>
      <c r="D77" s="43"/>
      <c r="E77" s="38"/>
      <c r="F77" s="36">
        <f t="shared" si="10"/>
        <v>0</v>
      </c>
      <c r="G77" s="30"/>
      <c r="H77" s="61"/>
      <c r="I77" s="61"/>
      <c r="J77" s="61"/>
      <c r="K77" s="61"/>
      <c r="L77" s="61"/>
      <c r="M77" s="62"/>
      <c r="N77" s="62"/>
      <c r="O77" s="61"/>
    </row>
    <row r="78" s="2" customFormat="1" ht="18" customHeight="1" spans="1:15">
      <c r="A78" s="41"/>
      <c r="B78" s="21">
        <f t="shared" si="9"/>
        <v>0</v>
      </c>
      <c r="C78" s="42"/>
      <c r="D78" s="43"/>
      <c r="E78" s="38"/>
      <c r="F78" s="36">
        <f t="shared" si="10"/>
        <v>0</v>
      </c>
      <c r="G78" s="30"/>
      <c r="H78" s="44">
        <v>44146</v>
      </c>
      <c r="I78" s="29">
        <v>300</v>
      </c>
      <c r="J78" s="62" t="s">
        <v>59</v>
      </c>
      <c r="K78" s="60" t="s">
        <v>60</v>
      </c>
      <c r="L78" s="61"/>
      <c r="M78" s="62"/>
      <c r="N78" s="62"/>
      <c r="O78" s="61"/>
    </row>
    <row r="79" s="2" customFormat="1" ht="18" customHeight="1" spans="1:15">
      <c r="A79" s="41"/>
      <c r="B79" s="21">
        <f t="shared" si="9"/>
        <v>0</v>
      </c>
      <c r="C79" s="42"/>
      <c r="D79" s="43"/>
      <c r="E79" s="38"/>
      <c r="F79" s="36">
        <f t="shared" si="10"/>
        <v>0</v>
      </c>
      <c r="G79" s="30"/>
      <c r="H79" s="44">
        <v>44146</v>
      </c>
      <c r="I79" s="29">
        <v>2544</v>
      </c>
      <c r="J79" s="62" t="s">
        <v>59</v>
      </c>
      <c r="K79" s="60" t="s">
        <v>137</v>
      </c>
      <c r="L79" s="61"/>
      <c r="M79" s="62"/>
      <c r="N79" s="62"/>
      <c r="O79" s="61"/>
    </row>
    <row r="80" s="1" customFormat="1" ht="18" customHeight="1" spans="1:15">
      <c r="A80" s="35"/>
      <c r="B80" s="21">
        <f t="shared" si="9"/>
        <v>0</v>
      </c>
      <c r="C80" s="39"/>
      <c r="D80" s="37"/>
      <c r="E80" s="38"/>
      <c r="F80" s="36">
        <f t="shared" si="10"/>
        <v>0</v>
      </c>
      <c r="G80" s="30"/>
      <c r="H80" s="44">
        <v>44140</v>
      </c>
      <c r="I80" s="29">
        <v>100</v>
      </c>
      <c r="J80" s="62" t="s">
        <v>59</v>
      </c>
      <c r="K80" s="60" t="s">
        <v>60</v>
      </c>
      <c r="L80" s="61"/>
      <c r="M80" s="62"/>
      <c r="N80" s="56"/>
      <c r="O80" s="55"/>
    </row>
    <row r="81" s="1" customFormat="1" ht="18" customHeight="1" spans="1:15">
      <c r="A81" s="35"/>
      <c r="B81" s="21">
        <f t="shared" si="9"/>
        <v>0</v>
      </c>
      <c r="C81" s="39"/>
      <c r="D81" s="37"/>
      <c r="E81" s="38"/>
      <c r="F81" s="36">
        <f t="shared" si="10"/>
        <v>0</v>
      </c>
      <c r="G81" s="30"/>
      <c r="H81" s="44" t="s">
        <v>127</v>
      </c>
      <c r="I81" s="36">
        <v>600</v>
      </c>
      <c r="J81" s="62" t="s">
        <v>59</v>
      </c>
      <c r="K81" s="60" t="s">
        <v>60</v>
      </c>
      <c r="L81" s="61"/>
      <c r="M81" s="62"/>
      <c r="N81" s="56"/>
      <c r="O81" s="55"/>
    </row>
    <row r="82" s="1" customFormat="1" ht="18" customHeight="1" spans="1:15">
      <c r="A82" s="35"/>
      <c r="B82" s="21">
        <f t="shared" si="9"/>
        <v>0</v>
      </c>
      <c r="C82" s="39"/>
      <c r="D82" s="37"/>
      <c r="E82" s="38"/>
      <c r="F82" s="36">
        <f t="shared" si="10"/>
        <v>0</v>
      </c>
      <c r="G82" s="30"/>
      <c r="H82" s="44" t="s">
        <v>127</v>
      </c>
      <c r="I82" s="102">
        <v>7500</v>
      </c>
      <c r="J82" s="62" t="s">
        <v>59</v>
      </c>
      <c r="K82" s="103" t="s">
        <v>128</v>
      </c>
      <c r="L82" s="61"/>
      <c r="M82" s="62"/>
      <c r="N82" s="56"/>
      <c r="O82" s="55"/>
    </row>
    <row r="83" s="1" customFormat="1" ht="18" customHeight="1" spans="1:15">
      <c r="A83" s="35"/>
      <c r="B83" s="21">
        <f t="shared" si="9"/>
        <v>0</v>
      </c>
      <c r="C83" s="39"/>
      <c r="D83" s="37"/>
      <c r="E83" s="38"/>
      <c r="F83" s="36">
        <f t="shared" si="10"/>
        <v>0</v>
      </c>
      <c r="G83" s="30"/>
      <c r="H83" s="44" t="s">
        <v>127</v>
      </c>
      <c r="I83" s="29">
        <v>36346</v>
      </c>
      <c r="J83" s="59" t="s">
        <v>59</v>
      </c>
      <c r="K83" s="60" t="s">
        <v>129</v>
      </c>
      <c r="L83" s="61"/>
      <c r="M83" s="62"/>
      <c r="N83" s="56"/>
      <c r="O83" s="55"/>
    </row>
    <row r="84" s="1" customFormat="1" ht="18" customHeight="1" spans="1:15">
      <c r="A84" s="35"/>
      <c r="B84" s="21">
        <f t="shared" ref="B84:B113" si="11">ROUND(G84/(1+E84),2)</f>
        <v>0</v>
      </c>
      <c r="C84" s="39"/>
      <c r="D84" s="37"/>
      <c r="E84" s="38"/>
      <c r="F84" s="36">
        <f t="shared" ref="F84:F113" si="12">ROUND(G84/(1+E84)*E84,2)</f>
        <v>0</v>
      </c>
      <c r="G84" s="30"/>
      <c r="H84" s="44" t="s">
        <v>127</v>
      </c>
      <c r="I84" s="29">
        <v>1000</v>
      </c>
      <c r="J84" s="59" t="s">
        <v>59</v>
      </c>
      <c r="K84" s="60" t="s">
        <v>130</v>
      </c>
      <c r="L84" s="61"/>
      <c r="M84" s="62"/>
      <c r="N84" s="56"/>
      <c r="O84" s="55"/>
    </row>
    <row r="85" s="1" customFormat="1" ht="18" customHeight="1" spans="1:15">
      <c r="A85" s="35"/>
      <c r="B85" s="21">
        <f t="shared" si="11"/>
        <v>0</v>
      </c>
      <c r="C85" s="39"/>
      <c r="D85" s="37"/>
      <c r="E85" s="38"/>
      <c r="F85" s="36">
        <f t="shared" si="12"/>
        <v>0</v>
      </c>
      <c r="G85" s="30"/>
      <c r="H85" s="44" t="s">
        <v>116</v>
      </c>
      <c r="I85" s="29">
        <v>50</v>
      </c>
      <c r="J85" s="59" t="s">
        <v>59</v>
      </c>
      <c r="K85" s="60" t="s">
        <v>60</v>
      </c>
      <c r="L85" s="61"/>
      <c r="M85" s="62"/>
      <c r="N85" s="56"/>
      <c r="O85" s="55"/>
    </row>
    <row r="86" s="1" customFormat="1" ht="18" customHeight="1" spans="1:15">
      <c r="A86" s="35"/>
      <c r="B86" s="21">
        <f t="shared" si="11"/>
        <v>0</v>
      </c>
      <c r="C86" s="39"/>
      <c r="D86" s="37"/>
      <c r="E86" s="38"/>
      <c r="F86" s="36">
        <f t="shared" si="12"/>
        <v>0</v>
      </c>
      <c r="G86" s="30"/>
      <c r="H86" s="44" t="s">
        <v>113</v>
      </c>
      <c r="I86" s="29">
        <v>100</v>
      </c>
      <c r="J86" s="59" t="s">
        <v>59</v>
      </c>
      <c r="K86" s="60" t="s">
        <v>60</v>
      </c>
      <c r="L86" s="61"/>
      <c r="M86" s="62"/>
      <c r="N86" s="56"/>
      <c r="O86" s="55"/>
    </row>
    <row r="87" s="1" customFormat="1" ht="18" customHeight="1" spans="1:15">
      <c r="A87" s="35"/>
      <c r="B87" s="21">
        <f t="shared" si="11"/>
        <v>0</v>
      </c>
      <c r="C87" s="39"/>
      <c r="D87" s="37"/>
      <c r="E87" s="38"/>
      <c r="F87" s="36">
        <f t="shared" si="12"/>
        <v>0</v>
      </c>
      <c r="G87" s="30"/>
      <c r="H87" s="44">
        <v>43984</v>
      </c>
      <c r="I87" s="29">
        <v>200</v>
      </c>
      <c r="J87" s="59" t="s">
        <v>59</v>
      </c>
      <c r="K87" s="60" t="s">
        <v>60</v>
      </c>
      <c r="L87" s="61"/>
      <c r="M87" s="62"/>
      <c r="N87" s="56"/>
      <c r="O87" s="55"/>
    </row>
    <row r="88" s="1" customFormat="1" ht="18" customHeight="1" spans="1:15">
      <c r="A88" s="35"/>
      <c r="B88" s="21">
        <f t="shared" si="11"/>
        <v>0</v>
      </c>
      <c r="C88" s="39"/>
      <c r="D88" s="37"/>
      <c r="E88" s="38"/>
      <c r="F88" s="36">
        <f t="shared" si="12"/>
        <v>0</v>
      </c>
      <c r="G88" s="30"/>
      <c r="H88" s="44">
        <v>43984</v>
      </c>
      <c r="I88" s="29">
        <f>-(I99+I96+I92)</f>
        <v>-178666.95</v>
      </c>
      <c r="J88" s="59" t="s">
        <v>61</v>
      </c>
      <c r="K88" s="64" t="s">
        <v>62</v>
      </c>
      <c r="L88" s="55"/>
      <c r="M88" s="56"/>
      <c r="N88" s="56"/>
      <c r="O88" s="55"/>
    </row>
    <row r="89" s="1" customFormat="1" ht="18" customHeight="1" spans="1:15">
      <c r="A89" s="35"/>
      <c r="B89" s="21">
        <f t="shared" si="11"/>
        <v>0</v>
      </c>
      <c r="C89" s="39"/>
      <c r="D89" s="37"/>
      <c r="E89" s="38"/>
      <c r="F89" s="36">
        <f t="shared" si="12"/>
        <v>0</v>
      </c>
      <c r="G89" s="30"/>
      <c r="H89" s="44">
        <v>43984</v>
      </c>
      <c r="I89" s="29">
        <v>22048</v>
      </c>
      <c r="J89" s="59" t="s">
        <v>59</v>
      </c>
      <c r="K89" s="64" t="s">
        <v>152</v>
      </c>
      <c r="L89" s="55"/>
      <c r="M89" s="56"/>
      <c r="N89" s="56"/>
      <c r="O89" s="55"/>
    </row>
    <row r="90" s="1" customFormat="1" ht="18" customHeight="1" spans="1:15">
      <c r="A90" s="35"/>
      <c r="B90" s="21">
        <f t="shared" si="11"/>
        <v>0</v>
      </c>
      <c r="C90" s="39"/>
      <c r="D90" s="37"/>
      <c r="E90" s="38"/>
      <c r="F90" s="36">
        <f t="shared" si="12"/>
        <v>0</v>
      </c>
      <c r="G90" s="30"/>
      <c r="H90" s="73">
        <v>43972</v>
      </c>
      <c r="I90" s="29">
        <v>100</v>
      </c>
      <c r="J90" s="51" t="s">
        <v>59</v>
      </c>
      <c r="K90" s="54" t="s">
        <v>60</v>
      </c>
      <c r="L90" s="55"/>
      <c r="M90" s="56"/>
      <c r="N90" s="56"/>
      <c r="O90" s="55"/>
    </row>
    <row r="91" s="1" customFormat="1" ht="18" customHeight="1" spans="1:15">
      <c r="A91" s="35"/>
      <c r="B91" s="21">
        <f t="shared" si="11"/>
        <v>0</v>
      </c>
      <c r="C91" s="39"/>
      <c r="D91" s="37"/>
      <c r="E91" s="38"/>
      <c r="F91" s="36">
        <f t="shared" si="12"/>
        <v>0</v>
      </c>
      <c r="G91" s="30"/>
      <c r="H91" s="73">
        <v>43972</v>
      </c>
      <c r="I91" s="29">
        <v>9000</v>
      </c>
      <c r="J91" s="51" t="s">
        <v>59</v>
      </c>
      <c r="K91" s="54" t="s">
        <v>64</v>
      </c>
      <c r="L91" s="55"/>
      <c r="M91" s="56"/>
      <c r="N91" s="56"/>
      <c r="O91" s="55"/>
    </row>
    <row r="92" s="1" customFormat="1" ht="18" customHeight="1" spans="1:15">
      <c r="A92" s="35"/>
      <c r="B92" s="21">
        <f t="shared" si="11"/>
        <v>0</v>
      </c>
      <c r="C92" s="39"/>
      <c r="D92" s="37"/>
      <c r="E92" s="38"/>
      <c r="F92" s="36">
        <f t="shared" si="12"/>
        <v>0</v>
      </c>
      <c r="G92" s="30"/>
      <c r="H92" s="73">
        <v>43972</v>
      </c>
      <c r="I92" s="29">
        <v>156769.95</v>
      </c>
      <c r="J92" s="51" t="s">
        <v>65</v>
      </c>
      <c r="K92" s="54" t="s">
        <v>66</v>
      </c>
      <c r="L92" s="55"/>
      <c r="M92" s="56"/>
      <c r="N92" s="56"/>
      <c r="O92" s="55"/>
    </row>
    <row r="93" s="1" customFormat="1" ht="18" customHeight="1" spans="1:15">
      <c r="A93" s="35"/>
      <c r="B93" s="21">
        <f t="shared" si="11"/>
        <v>0</v>
      </c>
      <c r="C93" s="39"/>
      <c r="D93" s="37"/>
      <c r="E93" s="38"/>
      <c r="F93" s="36">
        <f t="shared" si="12"/>
        <v>0</v>
      </c>
      <c r="G93" s="30"/>
      <c r="H93" s="73">
        <v>43972</v>
      </c>
      <c r="I93" s="29">
        <f>L125</f>
        <v>665.513647706424</v>
      </c>
      <c r="J93" s="51" t="s">
        <v>59</v>
      </c>
      <c r="K93" s="54" t="s">
        <v>67</v>
      </c>
      <c r="L93" s="55"/>
      <c r="M93" s="56"/>
      <c r="N93" s="56"/>
      <c r="O93" s="55"/>
    </row>
    <row r="94" s="1" customFormat="1" ht="18" customHeight="1" spans="1:15">
      <c r="A94" s="35"/>
      <c r="B94" s="21">
        <f t="shared" si="11"/>
        <v>0</v>
      </c>
      <c r="C94" s="39"/>
      <c r="D94" s="37"/>
      <c r="E94" s="38"/>
      <c r="F94" s="36">
        <f t="shared" si="12"/>
        <v>0</v>
      </c>
      <c r="G94" s="30"/>
      <c r="H94" s="73">
        <v>43972</v>
      </c>
      <c r="I94" s="29">
        <f>B10*0.02</f>
        <v>22183.7882568807</v>
      </c>
      <c r="J94" s="51" t="s">
        <v>59</v>
      </c>
      <c r="K94" s="54" t="s">
        <v>68</v>
      </c>
      <c r="L94" s="55"/>
      <c r="M94" s="56"/>
      <c r="N94" s="56"/>
      <c r="O94" s="55"/>
    </row>
    <row r="95" s="1" customFormat="1" ht="18" customHeight="1" spans="1:15">
      <c r="A95" s="35"/>
      <c r="B95" s="21">
        <f t="shared" si="11"/>
        <v>0</v>
      </c>
      <c r="C95" s="39"/>
      <c r="D95" s="37"/>
      <c r="E95" s="38"/>
      <c r="F95" s="36">
        <f t="shared" si="12"/>
        <v>0</v>
      </c>
      <c r="G95" s="30"/>
      <c r="H95" s="26">
        <v>43900</v>
      </c>
      <c r="I95" s="27">
        <v>100</v>
      </c>
      <c r="J95" s="51" t="s">
        <v>59</v>
      </c>
      <c r="K95" s="54" t="s">
        <v>60</v>
      </c>
      <c r="L95" s="55"/>
      <c r="M95" s="56"/>
      <c r="N95" s="56"/>
      <c r="O95" s="55"/>
    </row>
    <row r="96" s="1" customFormat="1" ht="18" customHeight="1" spans="1:15">
      <c r="A96" s="35"/>
      <c r="B96" s="21">
        <f t="shared" si="11"/>
        <v>0</v>
      </c>
      <c r="C96" s="39"/>
      <c r="D96" s="37"/>
      <c r="E96" s="38"/>
      <c r="F96" s="36">
        <f t="shared" si="12"/>
        <v>0</v>
      </c>
      <c r="G96" s="30"/>
      <c r="H96" s="26">
        <v>43900</v>
      </c>
      <c r="I96" s="27">
        <v>-909920</v>
      </c>
      <c r="J96" s="51" t="s">
        <v>61</v>
      </c>
      <c r="K96" s="58" t="s">
        <v>69</v>
      </c>
      <c r="L96" s="55"/>
      <c r="M96" s="56"/>
      <c r="N96" s="56"/>
      <c r="O96" s="55"/>
    </row>
    <row r="97" s="1" customFormat="1" ht="18" customHeight="1" spans="1:15">
      <c r="A97" s="35"/>
      <c r="B97" s="21">
        <f t="shared" si="11"/>
        <v>0</v>
      </c>
      <c r="C97" s="39"/>
      <c r="D97" s="37"/>
      <c r="E97" s="38"/>
      <c r="F97" s="36">
        <f t="shared" si="12"/>
        <v>0</v>
      </c>
      <c r="G97" s="30"/>
      <c r="H97" s="26" t="s">
        <v>70</v>
      </c>
      <c r="I97" s="27">
        <v>200</v>
      </c>
      <c r="J97" s="51" t="s">
        <v>59</v>
      </c>
      <c r="K97" s="54" t="s">
        <v>60</v>
      </c>
      <c r="L97" s="55"/>
      <c r="M97" s="56"/>
      <c r="N97" s="56"/>
      <c r="O97" s="55"/>
    </row>
    <row r="98" s="1" customFormat="1" ht="18" customHeight="1" spans="1:15">
      <c r="A98" s="35"/>
      <c r="B98" s="21">
        <f t="shared" si="11"/>
        <v>0</v>
      </c>
      <c r="C98" s="39"/>
      <c r="D98" s="37"/>
      <c r="E98" s="74"/>
      <c r="F98" s="36">
        <f t="shared" si="12"/>
        <v>0</v>
      </c>
      <c r="G98" s="30"/>
      <c r="H98" s="26" t="s">
        <v>71</v>
      </c>
      <c r="I98" s="27">
        <v>150</v>
      </c>
      <c r="J98" s="51" t="s">
        <v>59</v>
      </c>
      <c r="K98" s="54" t="s">
        <v>60</v>
      </c>
      <c r="L98" s="55"/>
      <c r="M98" s="56"/>
      <c r="N98" s="56"/>
      <c r="O98" s="55"/>
    </row>
    <row r="99" s="1" customFormat="1" ht="18" customHeight="1" spans="1:15">
      <c r="A99" s="35"/>
      <c r="B99" s="21">
        <f t="shared" si="11"/>
        <v>0</v>
      </c>
      <c r="C99" s="39"/>
      <c r="D99" s="37"/>
      <c r="E99" s="74"/>
      <c r="F99" s="36">
        <f t="shared" si="12"/>
        <v>0</v>
      </c>
      <c r="G99" s="30"/>
      <c r="H99" s="26" t="s">
        <v>71</v>
      </c>
      <c r="I99" s="27">
        <v>931817</v>
      </c>
      <c r="J99" s="51" t="s">
        <v>65</v>
      </c>
      <c r="K99" s="54" t="s">
        <v>72</v>
      </c>
      <c r="L99" s="55"/>
      <c r="M99" s="56">
        <f>I99+I96+I92+I88</f>
        <v>0</v>
      </c>
      <c r="N99" s="56"/>
      <c r="O99" s="55"/>
    </row>
    <row r="100" s="1" customFormat="1" ht="18" customHeight="1" spans="1:15">
      <c r="A100" s="35"/>
      <c r="B100" s="21">
        <f t="shared" si="11"/>
        <v>0</v>
      </c>
      <c r="C100" s="39"/>
      <c r="D100" s="37"/>
      <c r="E100" s="74"/>
      <c r="F100" s="36">
        <f t="shared" si="12"/>
        <v>0</v>
      </c>
      <c r="G100" s="30"/>
      <c r="H100" s="26" t="s">
        <v>71</v>
      </c>
      <c r="I100" s="27">
        <v>91630</v>
      </c>
      <c r="J100" s="51" t="s">
        <v>59</v>
      </c>
      <c r="K100" s="54" t="s">
        <v>73</v>
      </c>
      <c r="L100" s="55"/>
      <c r="M100" s="56"/>
      <c r="N100" s="56"/>
      <c r="O100" s="55"/>
    </row>
    <row r="101" s="1" customFormat="1" ht="18" customHeight="1" spans="1:15">
      <c r="A101" s="35"/>
      <c r="B101" s="21">
        <f t="shared" si="11"/>
        <v>0</v>
      </c>
      <c r="C101" s="39"/>
      <c r="D101" s="37"/>
      <c r="E101" s="74"/>
      <c r="F101" s="36">
        <f t="shared" si="12"/>
        <v>0</v>
      </c>
      <c r="G101" s="30"/>
      <c r="H101" s="26" t="s">
        <v>71</v>
      </c>
      <c r="I101" s="27">
        <v>2522</v>
      </c>
      <c r="J101" s="51" t="s">
        <v>59</v>
      </c>
      <c r="K101" s="54" t="s">
        <v>67</v>
      </c>
      <c r="L101" s="55"/>
      <c r="M101" s="56"/>
      <c r="N101" s="56"/>
      <c r="O101" s="55"/>
    </row>
    <row r="102" s="1" customFormat="1" ht="18" customHeight="1" spans="1:15">
      <c r="A102" s="35"/>
      <c r="B102" s="21"/>
      <c r="C102" s="39"/>
      <c r="D102" s="37"/>
      <c r="E102" s="74"/>
      <c r="F102" s="36"/>
      <c r="G102" s="30"/>
      <c r="H102" s="26" t="s">
        <v>71</v>
      </c>
      <c r="I102" s="27">
        <v>-246183.975440367</v>
      </c>
      <c r="J102" s="51" t="s">
        <v>61</v>
      </c>
      <c r="K102" s="54" t="s">
        <v>153</v>
      </c>
      <c r="L102" s="55"/>
      <c r="M102" s="56"/>
      <c r="N102" s="56"/>
      <c r="O102" s="55"/>
    </row>
    <row r="103" s="1" customFormat="1" ht="18" customHeight="1" spans="1:15">
      <c r="A103" s="35"/>
      <c r="B103" s="21"/>
      <c r="C103" s="39"/>
      <c r="D103" s="37"/>
      <c r="E103" s="74"/>
      <c r="F103" s="36"/>
      <c r="G103" s="30"/>
      <c r="H103" s="26" t="s">
        <v>71</v>
      </c>
      <c r="I103" s="27">
        <v>246183.975440367</v>
      </c>
      <c r="J103" s="51" t="s">
        <v>59</v>
      </c>
      <c r="K103" s="54" t="s">
        <v>154</v>
      </c>
      <c r="L103" s="55"/>
      <c r="M103" s="56"/>
      <c r="N103" s="56"/>
      <c r="O103" s="55"/>
    </row>
    <row r="104" s="1" customFormat="1" ht="18" customHeight="1" spans="1:15">
      <c r="A104" s="35"/>
      <c r="B104" s="21">
        <f t="shared" ref="B104:B114" si="13">ROUND(G104/(1+E104),2)</f>
        <v>0</v>
      </c>
      <c r="C104" s="39"/>
      <c r="D104" s="37"/>
      <c r="E104" s="74"/>
      <c r="F104" s="36">
        <f t="shared" ref="F104:F114" si="14">ROUND(G104/(1+E104)*E104,2)</f>
        <v>0</v>
      </c>
      <c r="G104" s="30"/>
      <c r="H104" s="26" t="s">
        <v>71</v>
      </c>
      <c r="I104" s="27">
        <v>200</v>
      </c>
      <c r="J104" s="51" t="s">
        <v>59</v>
      </c>
      <c r="K104" s="54" t="s">
        <v>60</v>
      </c>
      <c r="L104" s="55"/>
      <c r="M104" s="56"/>
      <c r="N104" s="56"/>
      <c r="O104" s="55"/>
    </row>
    <row r="105" s="1" customFormat="1" ht="18" customHeight="1" spans="1:15">
      <c r="A105" s="35"/>
      <c r="B105" s="21">
        <f t="shared" si="13"/>
        <v>0</v>
      </c>
      <c r="C105" s="39"/>
      <c r="D105" s="37"/>
      <c r="E105" s="74"/>
      <c r="F105" s="36">
        <f t="shared" si="14"/>
        <v>0</v>
      </c>
      <c r="G105" s="30"/>
      <c r="H105" s="26" t="s">
        <v>71</v>
      </c>
      <c r="I105" s="27">
        <v>9000</v>
      </c>
      <c r="J105" s="51" t="s">
        <v>59</v>
      </c>
      <c r="K105" s="54" t="s">
        <v>74</v>
      </c>
      <c r="L105" s="55"/>
      <c r="M105" s="56"/>
      <c r="N105" s="56"/>
      <c r="O105" s="55"/>
    </row>
    <row r="106" s="1" customFormat="1" ht="18" customHeight="1" spans="1:15">
      <c r="A106" s="35"/>
      <c r="B106" s="21">
        <f t="shared" si="13"/>
        <v>290682</v>
      </c>
      <c r="C106" s="39"/>
      <c r="D106" s="37"/>
      <c r="E106" s="74"/>
      <c r="F106" s="36">
        <f t="shared" si="14"/>
        <v>0</v>
      </c>
      <c r="G106" s="30">
        <v>290682</v>
      </c>
      <c r="H106" s="26" t="s">
        <v>71</v>
      </c>
      <c r="I106" s="27">
        <f>G106</f>
        <v>290682</v>
      </c>
      <c r="J106" s="51" t="s">
        <v>59</v>
      </c>
      <c r="K106" s="54" t="s">
        <v>75</v>
      </c>
      <c r="L106" s="55"/>
      <c r="M106" s="56"/>
      <c r="N106" s="56"/>
      <c r="O106" s="55"/>
    </row>
    <row r="107" s="1" customFormat="1" ht="18" customHeight="1" spans="1:15">
      <c r="A107" s="35"/>
      <c r="B107" s="21">
        <f t="shared" si="13"/>
        <v>0</v>
      </c>
      <c r="C107" s="39"/>
      <c r="D107" s="37"/>
      <c r="E107" s="74"/>
      <c r="F107" s="36">
        <f t="shared" si="14"/>
        <v>0</v>
      </c>
      <c r="G107" s="30"/>
      <c r="H107" s="26" t="s">
        <v>76</v>
      </c>
      <c r="I107" s="27">
        <v>3000</v>
      </c>
      <c r="J107" s="51" t="s">
        <v>59</v>
      </c>
      <c r="K107" s="54" t="s">
        <v>74</v>
      </c>
      <c r="L107" s="55"/>
      <c r="M107" s="56"/>
      <c r="N107" s="56"/>
      <c r="O107" s="55"/>
    </row>
    <row r="108" s="1" customFormat="1" ht="18" customHeight="1" spans="1:15">
      <c r="A108" s="35"/>
      <c r="B108" s="21">
        <f t="shared" si="13"/>
        <v>0</v>
      </c>
      <c r="C108" s="39"/>
      <c r="D108" s="37"/>
      <c r="E108" s="74"/>
      <c r="F108" s="36">
        <f t="shared" si="14"/>
        <v>0</v>
      </c>
      <c r="G108" s="30"/>
      <c r="H108" s="26" t="s">
        <v>76</v>
      </c>
      <c r="I108" s="27">
        <v>-563677</v>
      </c>
      <c r="J108" s="51" t="s">
        <v>61</v>
      </c>
      <c r="K108" s="54" t="s">
        <v>77</v>
      </c>
      <c r="L108" s="55"/>
      <c r="M108" s="56"/>
      <c r="N108" s="56"/>
      <c r="O108" s="55"/>
    </row>
    <row r="109" s="1" customFormat="1" ht="18" customHeight="1" spans="1:15">
      <c r="A109" s="35"/>
      <c r="B109" s="21">
        <f t="shared" si="13"/>
        <v>0</v>
      </c>
      <c r="C109" s="39"/>
      <c r="D109" s="37"/>
      <c r="E109" s="74"/>
      <c r="F109" s="36">
        <f t="shared" si="14"/>
        <v>0</v>
      </c>
      <c r="G109" s="30"/>
      <c r="H109" s="26" t="s">
        <v>76</v>
      </c>
      <c r="I109" s="27">
        <v>-181186</v>
      </c>
      <c r="J109" s="51" t="s">
        <v>78</v>
      </c>
      <c r="K109" s="54" t="s">
        <v>79</v>
      </c>
      <c r="L109" s="55"/>
      <c r="M109" s="56"/>
      <c r="N109" s="56"/>
      <c r="O109" s="55"/>
    </row>
    <row r="110" s="1" customFormat="1" ht="18" customHeight="1" spans="1:15">
      <c r="A110" s="35"/>
      <c r="B110" s="21">
        <f t="shared" si="13"/>
        <v>0</v>
      </c>
      <c r="C110" s="39"/>
      <c r="D110" s="37"/>
      <c r="E110" s="74"/>
      <c r="F110" s="21">
        <f t="shared" si="14"/>
        <v>0</v>
      </c>
      <c r="G110" s="30"/>
      <c r="H110" s="26" t="s">
        <v>76</v>
      </c>
      <c r="I110" s="29">
        <v>181186</v>
      </c>
      <c r="J110" s="51" t="s">
        <v>59</v>
      </c>
      <c r="K110" s="54" t="s">
        <v>155</v>
      </c>
      <c r="L110" s="55"/>
      <c r="M110" s="56"/>
      <c r="N110" s="56"/>
      <c r="O110" s="55"/>
    </row>
    <row r="111" s="1" customFormat="1" ht="18" customHeight="1" spans="1:15">
      <c r="A111" s="35"/>
      <c r="B111" s="21">
        <f t="shared" si="13"/>
        <v>0</v>
      </c>
      <c r="C111" s="39"/>
      <c r="D111" s="37"/>
      <c r="E111" s="74"/>
      <c r="F111" s="21">
        <f t="shared" si="14"/>
        <v>0</v>
      </c>
      <c r="G111" s="30"/>
      <c r="H111" s="26" t="s">
        <v>76</v>
      </c>
      <c r="I111" s="27">
        <v>563677</v>
      </c>
      <c r="J111" s="51" t="s">
        <v>65</v>
      </c>
      <c r="K111" s="54" t="s">
        <v>66</v>
      </c>
      <c r="L111" s="55"/>
      <c r="M111" s="56"/>
      <c r="N111" s="56"/>
      <c r="O111" s="55"/>
    </row>
    <row r="112" s="1" customFormat="1" ht="18" customHeight="1" spans="1:15">
      <c r="A112" s="35"/>
      <c r="B112" s="21">
        <f t="shared" si="13"/>
        <v>0</v>
      </c>
      <c r="C112" s="39"/>
      <c r="D112" s="37"/>
      <c r="E112" s="74"/>
      <c r="F112" s="21">
        <f t="shared" si="14"/>
        <v>0</v>
      </c>
      <c r="G112" s="30"/>
      <c r="H112" s="26" t="s">
        <v>76</v>
      </c>
      <c r="I112" s="27">
        <v>47062</v>
      </c>
      <c r="J112" s="51" t="s">
        <v>59</v>
      </c>
      <c r="K112" s="54" t="s">
        <v>80</v>
      </c>
      <c r="L112" s="55"/>
      <c r="M112" s="56"/>
      <c r="N112" s="56"/>
      <c r="O112" s="55"/>
    </row>
    <row r="113" s="1" customFormat="1" ht="18" customHeight="1" spans="1:15">
      <c r="A113" s="35"/>
      <c r="B113" s="21">
        <f t="shared" si="13"/>
        <v>0</v>
      </c>
      <c r="C113" s="39"/>
      <c r="D113" s="37"/>
      <c r="E113" s="74"/>
      <c r="F113" s="21">
        <f t="shared" si="14"/>
        <v>0</v>
      </c>
      <c r="G113" s="30"/>
      <c r="H113" s="26" t="s">
        <v>76</v>
      </c>
      <c r="I113" s="27">
        <v>1412</v>
      </c>
      <c r="J113" s="51" t="s">
        <v>59</v>
      </c>
      <c r="K113" s="54" t="s">
        <v>67</v>
      </c>
      <c r="L113" s="55"/>
      <c r="M113" s="56"/>
      <c r="N113" s="56"/>
      <c r="O113" s="55"/>
    </row>
    <row r="114" s="1" customFormat="1" ht="18" customHeight="1" spans="1:15">
      <c r="A114" s="35"/>
      <c r="B114" s="21">
        <f t="shared" si="13"/>
        <v>51296.82</v>
      </c>
      <c r="C114" s="39"/>
      <c r="D114" s="37"/>
      <c r="E114" s="74"/>
      <c r="F114" s="21">
        <f t="shared" si="14"/>
        <v>0</v>
      </c>
      <c r="G114" s="30">
        <f>I7*0.02</f>
        <v>51296.823</v>
      </c>
      <c r="H114" s="26" t="s">
        <v>76</v>
      </c>
      <c r="I114" s="27">
        <f>G114</f>
        <v>51296.823</v>
      </c>
      <c r="J114" s="51" t="s">
        <v>59</v>
      </c>
      <c r="K114" s="54" t="s">
        <v>81</v>
      </c>
      <c r="L114" s="55"/>
      <c r="M114" s="56"/>
      <c r="N114" s="56"/>
      <c r="O114" s="55"/>
    </row>
    <row r="115" s="3" customFormat="1" ht="18" customHeight="1" spans="1:15">
      <c r="A115" s="75" t="s">
        <v>23</v>
      </c>
      <c r="B115" s="33">
        <f>SUM(B19:B114)</f>
        <v>9613575.34</v>
      </c>
      <c r="C115" s="75"/>
      <c r="D115" s="76"/>
      <c r="E115" s="76"/>
      <c r="F115" s="33">
        <f>SUM(F19:F114)</f>
        <v>280944.53</v>
      </c>
      <c r="G115" s="77">
        <f>SUM(G19:G114)</f>
        <v>9894519.873</v>
      </c>
      <c r="H115" s="78"/>
      <c r="I115" s="33">
        <f>SUM(I20:I114)</f>
        <v>10472011.1249046</v>
      </c>
      <c r="J115" s="104"/>
      <c r="K115" s="76"/>
      <c r="L115" s="105"/>
      <c r="M115" s="59"/>
      <c r="N115" s="59"/>
      <c r="O115" s="105"/>
    </row>
    <row r="116" ht="18" customHeight="1" spans="1:14">
      <c r="A116" s="79" t="s">
        <v>83</v>
      </c>
      <c r="B116" s="80">
        <f>B16*0.92</f>
        <v>8839297.99706423</v>
      </c>
      <c r="C116" s="79"/>
      <c r="D116" s="81"/>
      <c r="E116" s="81"/>
      <c r="F116" s="80">
        <f t="shared" ref="F116:I116" si="15">F16-F115</f>
        <v>391610.752385321</v>
      </c>
      <c r="G116" s="80">
        <f>G16-G115</f>
        <v>578126.666999998</v>
      </c>
      <c r="H116" s="25" t="s">
        <v>84</v>
      </c>
      <c r="I116" s="106">
        <f t="shared" si="15"/>
        <v>1295.02509539947</v>
      </c>
      <c r="J116" s="10"/>
      <c r="K116" s="107"/>
      <c r="M116" s="108"/>
      <c r="N116" s="108"/>
    </row>
    <row r="117" ht="18" customHeight="1" spans="1:14">
      <c r="A117" s="79" t="s">
        <v>85</v>
      </c>
      <c r="B117" s="80">
        <f>B116-B115</f>
        <v>-774277.342935771</v>
      </c>
      <c r="C117" s="79"/>
      <c r="D117" s="81"/>
      <c r="E117" s="81"/>
      <c r="F117" s="80"/>
      <c r="G117" s="80"/>
      <c r="H117" s="82"/>
      <c r="I117" s="80"/>
      <c r="J117" s="10"/>
      <c r="K117" s="107"/>
      <c r="M117" s="108"/>
      <c r="N117" s="108"/>
    </row>
    <row r="118" ht="18" customHeight="1" spans="1:3">
      <c r="A118" s="5" t="s">
        <v>86</v>
      </c>
      <c r="C118" s="5"/>
    </row>
    <row r="119" ht="18" customHeight="1" spans="1:17">
      <c r="A119" s="25" t="s">
        <v>87</v>
      </c>
      <c r="B119" s="24" t="s">
        <v>88</v>
      </c>
      <c r="C119" s="52"/>
      <c r="D119" s="25" t="s">
        <v>87</v>
      </c>
      <c r="E119" s="23" t="s">
        <v>16</v>
      </c>
      <c r="F119" s="83" t="s">
        <v>88</v>
      </c>
      <c r="G119" s="84" t="s">
        <v>90</v>
      </c>
      <c r="H119" s="84" t="s">
        <v>156</v>
      </c>
      <c r="I119" s="83" t="s">
        <v>91</v>
      </c>
      <c r="J119" s="83"/>
      <c r="K119" s="83" t="s">
        <v>156</v>
      </c>
      <c r="L119" s="83" t="s">
        <v>92</v>
      </c>
      <c r="M119" s="78" t="s">
        <v>123</v>
      </c>
      <c r="N119" s="78"/>
      <c r="O119" s="78"/>
      <c r="P119" s="25" t="s">
        <v>157</v>
      </c>
      <c r="Q119" s="25"/>
    </row>
    <row r="120" ht="18" customHeight="1" spans="1:17">
      <c r="A120" s="52" t="s">
        <v>93</v>
      </c>
      <c r="B120" s="21">
        <f>(B116-B115)*0.25</f>
        <v>-193569.335733943</v>
      </c>
      <c r="C120" s="52"/>
      <c r="D120" s="32" t="s">
        <v>94</v>
      </c>
      <c r="E120" s="25" t="s">
        <v>95</v>
      </c>
      <c r="F120" s="85">
        <f>F16-F115</f>
        <v>391610.752385321</v>
      </c>
      <c r="G120" s="86">
        <f>F7</f>
        <v>164714.569266055</v>
      </c>
      <c r="H120" s="83">
        <f>-(F20+F21)</f>
        <v>-115191.16</v>
      </c>
      <c r="I120" s="85">
        <f>F9-F22-F23</f>
        <v>223803.614036697</v>
      </c>
      <c r="J120" s="85"/>
      <c r="K120" s="85">
        <f>-F26</f>
        <v>-37734.51</v>
      </c>
      <c r="L120" s="99">
        <f>F10-F25-F29</f>
        <v>20043.6288990826</v>
      </c>
      <c r="M120" s="99">
        <f>F11</f>
        <v>116708.555137615</v>
      </c>
      <c r="N120" s="99"/>
      <c r="O120" s="99"/>
      <c r="P120" s="109">
        <f>F12</f>
        <v>19266.0550458716</v>
      </c>
      <c r="Q120" s="109"/>
    </row>
    <row r="121" ht="18" customHeight="1" spans="1:17">
      <c r="A121" s="52" t="s">
        <v>96</v>
      </c>
      <c r="B121" s="87" t="s">
        <v>97</v>
      </c>
      <c r="C121" s="52"/>
      <c r="D121" s="88" t="s">
        <v>98</v>
      </c>
      <c r="E121" s="17">
        <v>0.05</v>
      </c>
      <c r="F121" s="85">
        <f>F120*E121</f>
        <v>19580.537619266</v>
      </c>
      <c r="G121" s="86">
        <f>G120*E121</f>
        <v>8235.72846330275</v>
      </c>
      <c r="H121" s="85">
        <f>H120*E121</f>
        <v>-5759.558</v>
      </c>
      <c r="I121" s="85">
        <f>I120*E121</f>
        <v>11190.1807018348</v>
      </c>
      <c r="J121" s="85"/>
      <c r="K121" s="85">
        <f>K120*E121</f>
        <v>-1886.7255</v>
      </c>
      <c r="L121" s="99">
        <f>L120*E121</f>
        <v>1002.18144495413</v>
      </c>
      <c r="M121" s="99">
        <f>M120*E121</f>
        <v>5835.42775688075</v>
      </c>
      <c r="N121" s="99"/>
      <c r="O121" s="99"/>
      <c r="P121" s="109">
        <f>P120*E121</f>
        <v>963.30275229358</v>
      </c>
      <c r="Q121" s="109"/>
    </row>
    <row r="122" ht="18" customHeight="1" spans="1:17">
      <c r="A122" s="52" t="s">
        <v>67</v>
      </c>
      <c r="B122" s="87"/>
      <c r="C122" s="52"/>
      <c r="D122" s="88" t="s">
        <v>99</v>
      </c>
      <c r="E122" s="17">
        <v>0.03</v>
      </c>
      <c r="F122" s="85">
        <f>F120*E122</f>
        <v>11748.3225715596</v>
      </c>
      <c r="G122" s="86">
        <f>G120*E122</f>
        <v>4941.43707798165</v>
      </c>
      <c r="H122" s="85">
        <f>H120*E122</f>
        <v>-3455.7348</v>
      </c>
      <c r="I122" s="85">
        <f>I120*E122</f>
        <v>6714.10842110091</v>
      </c>
      <c r="J122" s="85"/>
      <c r="K122" s="85">
        <f>K120*E122</f>
        <v>-1132.0353</v>
      </c>
      <c r="L122" s="99">
        <f>L120*E122</f>
        <v>601.308866972478</v>
      </c>
      <c r="M122" s="99">
        <f>M120*E122</f>
        <v>3501.25665412845</v>
      </c>
      <c r="N122" s="99"/>
      <c r="O122" s="99"/>
      <c r="P122" s="109">
        <f>P120*E122</f>
        <v>577.981651376148</v>
      </c>
      <c r="Q122" s="109"/>
    </row>
    <row r="123" ht="18" customHeight="1" spans="1:17">
      <c r="A123" s="52"/>
      <c r="B123" s="27"/>
      <c r="C123" s="52"/>
      <c r="D123" s="88" t="s">
        <v>100</v>
      </c>
      <c r="E123" s="17">
        <v>0.02</v>
      </c>
      <c r="F123" s="85">
        <f>F120*E123</f>
        <v>7832.21504770642</v>
      </c>
      <c r="G123" s="86">
        <f>G120*E123</f>
        <v>3294.2913853211</v>
      </c>
      <c r="H123" s="85">
        <f>H120*E123</f>
        <v>-2303.8232</v>
      </c>
      <c r="I123" s="85">
        <f>I120*E123</f>
        <v>4476.07228073394</v>
      </c>
      <c r="J123" s="85"/>
      <c r="K123" s="85">
        <f>K120*E123</f>
        <v>-754.6902</v>
      </c>
      <c r="L123" s="99">
        <f>L120*E123</f>
        <v>400.872577981652</v>
      </c>
      <c r="M123" s="99">
        <f>M120*E123</f>
        <v>2334.1711027523</v>
      </c>
      <c r="N123" s="99"/>
      <c r="O123" s="99"/>
      <c r="P123" s="109">
        <f>P120*E123</f>
        <v>385.321100917432</v>
      </c>
      <c r="Q123" s="109"/>
    </row>
    <row r="124" s="4" customFormat="1" ht="18" customHeight="1" spans="1:17">
      <c r="A124" s="89" t="s">
        <v>101</v>
      </c>
      <c r="B124" s="90">
        <f>SUM(B120:B123)</f>
        <v>-193569.335733943</v>
      </c>
      <c r="C124" s="91"/>
      <c r="D124" s="92" t="s">
        <v>101</v>
      </c>
      <c r="E124" s="89"/>
      <c r="F124" s="93">
        <f>SUM(F120:F123)</f>
        <v>430771.827623853</v>
      </c>
      <c r="G124" s="94">
        <f>SUM(G120:G123)</f>
        <v>181186.026192661</v>
      </c>
      <c r="H124" s="93">
        <f>SUM(H120:H123)</f>
        <v>-126710.276</v>
      </c>
      <c r="I124" s="93">
        <f>SUM(I120:I123)</f>
        <v>246183.975440367</v>
      </c>
      <c r="J124" s="93"/>
      <c r="K124" s="93">
        <f>SUM(K120:K123)</f>
        <v>-41507.961</v>
      </c>
      <c r="L124" s="110">
        <f>SUM(L120:L123)</f>
        <v>22047.9917889909</v>
      </c>
      <c r="M124" s="110">
        <f>M120+M121+M122+M123</f>
        <v>128379.410651376</v>
      </c>
      <c r="N124" s="110"/>
      <c r="O124" s="110"/>
      <c r="P124" s="110">
        <f>SUM(P120:P123)</f>
        <v>21192.6605504588</v>
      </c>
      <c r="Q124" s="110"/>
    </row>
    <row r="125" s="3" customFormat="1" ht="18" customHeight="1" spans="1:17">
      <c r="A125" s="95"/>
      <c r="B125" s="96"/>
      <c r="C125" s="95"/>
      <c r="D125" s="97" t="s">
        <v>67</v>
      </c>
      <c r="E125" s="98">
        <v>0.0006</v>
      </c>
      <c r="F125" s="85">
        <f>B16*E125</f>
        <v>5764.75956330276</v>
      </c>
      <c r="G125" s="99">
        <f>B7*E125</f>
        <v>1411.83916513762</v>
      </c>
      <c r="H125" s="100"/>
      <c r="I125" s="99">
        <f>B9*0.0006</f>
        <v>2521.91009174312</v>
      </c>
      <c r="J125" s="99"/>
      <c r="K125" s="99"/>
      <c r="L125" s="85">
        <f>B10*E125</f>
        <v>665.513647706424</v>
      </c>
      <c r="M125" s="99">
        <f>E125*B11</f>
        <v>1000.3590440367</v>
      </c>
      <c r="N125" s="99"/>
      <c r="O125" s="99"/>
      <c r="P125" s="99">
        <f>E125*B12</f>
        <v>165.137614678899</v>
      </c>
      <c r="Q125" s="99"/>
    </row>
    <row r="126" s="3" customFormat="1" ht="18" customHeight="1" spans="1:17">
      <c r="A126" s="95"/>
      <c r="B126" s="96"/>
      <c r="C126" s="95"/>
      <c r="D126" s="75" t="s">
        <v>93</v>
      </c>
      <c r="E126" s="76">
        <v>0.02</v>
      </c>
      <c r="F126" s="85">
        <f>G16*E126</f>
        <v>209452.9308</v>
      </c>
      <c r="G126" s="99">
        <v>47062</v>
      </c>
      <c r="H126" s="99"/>
      <c r="I126" s="99">
        <v>91630</v>
      </c>
      <c r="J126" s="99"/>
      <c r="K126" s="99"/>
      <c r="L126" s="85">
        <f>B10*E126</f>
        <v>22183.7882568808</v>
      </c>
      <c r="M126" s="99">
        <f>E126*G11</f>
        <v>36346.3786</v>
      </c>
      <c r="N126" s="99"/>
      <c r="O126" s="99"/>
      <c r="P126" s="99">
        <f>G12*E126</f>
        <v>6000</v>
      </c>
      <c r="Q126" s="99"/>
    </row>
    <row r="127" spans="3:3">
      <c r="C127" s="5"/>
    </row>
  </sheetData>
  <protectedRanges>
    <protectedRange sqref="I22" name="区域1"/>
  </protectedRanges>
  <autoFilter ref="A18:R127">
    <extLst/>
  </autoFilter>
  <mergeCells count="32">
    <mergeCell ref="A1:J1"/>
    <mergeCell ref="H2:J2"/>
    <mergeCell ref="C5:D5"/>
    <mergeCell ref="E5:F5"/>
    <mergeCell ref="H5:J5"/>
    <mergeCell ref="I119:J119"/>
    <mergeCell ref="M119:O119"/>
    <mergeCell ref="P119:Q119"/>
    <mergeCell ref="I120:J120"/>
    <mergeCell ref="M120:O120"/>
    <mergeCell ref="P120:Q120"/>
    <mergeCell ref="I121:J121"/>
    <mergeCell ref="M121:O121"/>
    <mergeCell ref="P121:Q121"/>
    <mergeCell ref="I122:J122"/>
    <mergeCell ref="M122:O122"/>
    <mergeCell ref="P122:Q122"/>
    <mergeCell ref="I123:J123"/>
    <mergeCell ref="M123:O123"/>
    <mergeCell ref="P123:Q123"/>
    <mergeCell ref="I124:J124"/>
    <mergeCell ref="M124:O124"/>
    <mergeCell ref="P124:Q124"/>
    <mergeCell ref="I125:J125"/>
    <mergeCell ref="M125:O125"/>
    <mergeCell ref="P125:Q125"/>
    <mergeCell ref="I126:J126"/>
    <mergeCell ref="M126:O126"/>
    <mergeCell ref="P126:Q126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新</vt:lpstr>
      <vt:lpstr>Sheet2</vt:lpstr>
      <vt:lpstr>6.2次</vt:lpstr>
      <vt:lpstr>6.3次</vt:lpstr>
      <vt:lpstr>6.4</vt:lpstr>
      <vt:lpstr>7次</vt:lpstr>
      <vt:lpstr>8次</vt:lpstr>
      <vt:lpstr>8次 (2)</vt:lpstr>
      <vt:lpstr>8次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2021-04-29T05:10:01Z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DBD6B23822A3456CAE79D02D5C796081</vt:lpwstr>
  </property>
</Properties>
</file>