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旧" sheetId="1" r:id="rId1"/>
    <sheet name="新" sheetId="2" r:id="rId2"/>
  </sheets>
  <definedNames>
    <definedName name="_xlnm._FilterDatabase" localSheetId="0" hidden="1">旧!$A$13:$O$67</definedName>
    <definedName name="_xlnm._FilterDatabase" localSheetId="1" hidden="1">新!$A$13:$O$28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5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5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<sst xmlns="http://schemas.openxmlformats.org/spreadsheetml/2006/main" count="334" uniqueCount="104">
  <si>
    <t>2018年开封市普通干线公路新路网交通标志调整</t>
  </si>
  <si>
    <t>中标日期</t>
  </si>
  <si>
    <t>中标价</t>
  </si>
  <si>
    <t>负责人</t>
  </si>
  <si>
    <t>李想</t>
  </si>
  <si>
    <t>建设单位</t>
  </si>
  <si>
    <t>开封市管理管理局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</si>
  <si>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</si>
  <si>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</si>
  <si>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</si>
  <si>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</si>
  <si>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</si>
  <si>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</si>
  <si>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</si>
  <si>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</si>
  <si>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</si>
  <si>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</si>
  <si>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</si>
  <si>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</si>
  <si>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</si>
  <si>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</si>
  <si>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</si>
  <si>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</si>
  <si>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</si>
  <si>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</si>
  <si>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</si>
  <si>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</si>
  <si>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</si>
  <si>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</si>
  <si>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</si>
  <si>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</si>
  <si>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</si>
  <si>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</si>
  <si>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</si>
  <si>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</si>
  <si>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</si>
  <si>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</si>
  <si>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河南豫信招标有限责任公司</t>
  </si>
  <si>
    <t>代理服务费</t>
  </si>
  <si>
    <t>河南省恒大混凝土有限公司</t>
  </si>
  <si>
    <t>混凝土442.31方</t>
  </si>
  <si>
    <t>有</t>
  </si>
  <si>
    <t>开封市天平路桥工程检测有限公司</t>
  </si>
  <si>
    <t>试验检测费</t>
  </si>
  <si>
    <t>普</t>
  </si>
  <si>
    <t>温州景诚计量设备有限公司、开封市公共资源交易中心有限公司</t>
  </si>
  <si>
    <t>超声波测量议、综合服务费</t>
  </si>
  <si>
    <t>零星采购</t>
  </si>
  <si>
    <t>应用水、汽油、办公用品</t>
  </si>
  <si>
    <t>郑州世联交通设施有限公司</t>
  </si>
  <si>
    <t>标志牌及杆件62套</t>
  </si>
  <si>
    <t>徽行</t>
  </si>
  <si>
    <t>吕雪</t>
  </si>
  <si>
    <t>定额</t>
  </si>
  <si>
    <t>通许县君之利五金店</t>
  </si>
  <si>
    <t>定额发票</t>
  </si>
  <si>
    <t>19-12-</t>
  </si>
  <si>
    <t>通许县国琴建筑材料店</t>
  </si>
  <si>
    <t>标志牌及杆件174套</t>
  </si>
  <si>
    <t>之前那次有</t>
  </si>
  <si>
    <t>尉氏县清源建筑材料有限公司</t>
  </si>
  <si>
    <t>商品混凝土550立方</t>
  </si>
  <si>
    <t>河南省奥航建筑劳务有限公司</t>
  </si>
  <si>
    <t>劳务费</t>
  </si>
  <si>
    <t>2020-061</t>
  </si>
  <si>
    <t xml:space="preserve"> </t>
  </si>
  <si>
    <t>普代</t>
  </si>
  <si>
    <t>张昆仑</t>
  </si>
  <si>
    <t>机械工程服务费</t>
  </si>
  <si>
    <t>2020-807# 200500元</t>
  </si>
  <si>
    <t>收退回的履约保证金</t>
  </si>
  <si>
    <t>王洁（退履约保证金）</t>
  </si>
  <si>
    <t>1次</t>
  </si>
  <si>
    <t>扣</t>
  </si>
  <si>
    <t>手续费</t>
  </si>
  <si>
    <t>退</t>
  </si>
  <si>
    <t>之前暂扣部分企税</t>
  </si>
  <si>
    <t>企税1%</t>
  </si>
  <si>
    <t>2次</t>
  </si>
  <si>
    <t>水利</t>
  </si>
  <si>
    <t>暂扣</t>
  </si>
  <si>
    <t>企税（成本不够）</t>
  </si>
  <si>
    <t>印花水利</t>
  </si>
  <si>
    <t>管理费</t>
  </si>
  <si>
    <t>合同价2%</t>
  </si>
  <si>
    <t>外经证</t>
  </si>
  <si>
    <t>应提供成本</t>
  </si>
  <si>
    <t>可支付金额</t>
  </si>
  <si>
    <t>尚需提供成本</t>
  </si>
  <si>
    <t>公司代缴税金：</t>
  </si>
  <si>
    <t>税种</t>
  </si>
  <si>
    <t>税额</t>
  </si>
  <si>
    <t xml:space="preserve">19.11月开票扣税 </t>
  </si>
  <si>
    <t>20.1月开票扣税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</si>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</sst>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0" borderId="0" xfId="0" applyNumberFormat="1" applyFont="1"/>
    <xf numFmtId="178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left" vertical="center"/>
    </xf>
    <xf numFmtId="177" fontId="2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NumberFormat="1" applyFont="1" applyFill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8" fontId="3" fillId="0" borderId="2" xfId="0" applyNumberFormat="1" applyFont="1" applyBorder="1" applyAlignment="1">
      <alignment vertical="center"/>
    </xf>
    <xf numFmtId="178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/>
    <xf numFmtId="177" fontId="1" fillId="0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7" fillId="3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3" fillId="2" borderId="2" xfId="0" applyNumberFormat="1" applyFont="1" applyFill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9525</xdr:colOff>
      <xdr:row>71</xdr:row>
      <xdr:rowOff>9525</xdr:rowOff>
    </xdr:from>
    <xdr:to>
      <xdr:col>16</xdr:col>
      <xdr:colOff>322580</xdr:colOff>
      <xdr:row>77</xdr:row>
      <xdr:rowOff>79375</xdr:rowOff>
    </xdr:to>
    <xdr:pic>
      <xdr:nvPicPr>
        <xdr:cNvPr id="2" name="图片 1" descr="062ATYP~KU[8NA(3(D}I@U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5947390"/>
          <a:ext cx="10609580" cy="9271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84</xdr:row>
      <xdr:rowOff>9525</xdr:rowOff>
    </xdr:from>
    <xdr:to>
      <xdr:col>8</xdr:col>
      <xdr:colOff>1024890</xdr:colOff>
      <xdr:row>92</xdr:row>
      <xdr:rowOff>36195</xdr:rowOff>
    </xdr:to>
    <xdr:pic>
      <xdr:nvPicPr>
        <xdr:cNvPr id="3" name="图片 2" descr="[}}KRA5XPH[1{KV0VP`(2B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5625" y="17804765"/>
          <a:ext cx="1015365" cy="1169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9525</xdr:colOff>
      <xdr:row>71</xdr:row>
      <xdr:rowOff>9525</xdr:rowOff>
    </xdr:from>
    <xdr:to>
      <xdr:col>16</xdr:col>
      <xdr:colOff>322580</xdr:colOff>
      <xdr:row>77</xdr:row>
      <xdr:rowOff>79375</xdr:rowOff>
    </xdr:to>
    <xdr:pic>
      <xdr:nvPicPr>
        <xdr:cNvPr id="2" name="图片 1" descr="062ATYP~KU[8NA(3(D}I@U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5947390"/>
          <a:ext cx="10609580" cy="9271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84</xdr:row>
      <xdr:rowOff>9525</xdr:rowOff>
    </xdr:from>
    <xdr:to>
      <xdr:col>8</xdr:col>
      <xdr:colOff>1024890</xdr:colOff>
      <xdr:row>92</xdr:row>
      <xdr:rowOff>36195</xdr:rowOff>
    </xdr:to>
    <xdr:pic>
      <xdr:nvPicPr>
        <xdr:cNvPr id="3" name="图片 2" descr="[}}KRA5XPH[1{KV0VP`(2B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5625" y="17804765"/>
          <a:ext cx="1015365" cy="116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topLeftCell="A16" workbookViewId="0">
      <selection activeCell="A16" sqref="$A1:$XFD1048576"/>
    </sheetView>
  </sheetViews>
  <sheetFormatPr defaultColWidth="9" defaultRowHeight="11.25"/>
  <cols>
    <col min="1" max="1" width="10.75" style="4" customWidth="1"/>
    <col min="2" max="2" width="13.125" style="5" customWidth="1"/>
    <col min="3" max="3" width="6" style="6" customWidth="1"/>
    <col min="4" max="4" width="13.375" style="6" customWidth="1"/>
    <col min="5" max="5" width="6" style="6" customWidth="1"/>
    <col min="6" max="6" width="13.125" style="5" customWidth="1"/>
    <col min="7" max="7" width="14.125" style="5" customWidth="1"/>
    <col min="8" max="8" width="14" style="6" customWidth="1"/>
    <col min="9" max="9" width="13.875" style="5" customWidth="1"/>
    <col min="10" max="10" width="6.125" style="7" customWidth="1"/>
    <col min="11" max="11" width="31.5" style="1" customWidth="1"/>
    <col min="12" max="12" width="12.75" style="1" customWidth="1"/>
    <col min="13" max="13" width="6" style="1" customWidth="1"/>
    <col min="14" max="14" width="5.625" style="1" customWidth="1"/>
    <col min="15" max="16384" width="9" style="1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18" customHeight="1" spans="1:12">
      <c r="A2" s="10" t="s">
        <v>1</v>
      </c>
      <c r="B2" s="11">
        <v>43591</v>
      </c>
      <c r="C2" s="12" t="s">
        <v>2</v>
      </c>
      <c r="D2" s="77">
        <v>2910566</v>
      </c>
      <c r="E2" s="14" t="s">
        <v>3</v>
      </c>
      <c r="F2" s="15" t="s">
        <v>4</v>
      </c>
      <c r="G2" s="16" t="s">
        <v>5</v>
      </c>
      <c r="H2" s="17" t="s">
        <v>6</v>
      </c>
      <c r="I2" s="59"/>
      <c r="J2" s="60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61"/>
      <c r="J3" s="19"/>
      <c r="K3" s="19"/>
      <c r="L3" s="19"/>
    </row>
    <row r="4" ht="18" customHeight="1" spans="1:12">
      <c r="A4" s="4" t="s">
        <v>9</v>
      </c>
      <c r="H4" s="19"/>
      <c r="I4" s="61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43775</v>
      </c>
      <c r="B7" s="57">
        <f t="shared" ref="B7:B8" si="0">G7/(1+C7+E7)</f>
        <v>871629.357798165</v>
      </c>
      <c r="C7" s="24">
        <v>0.02</v>
      </c>
      <c r="D7" s="78">
        <f t="shared" ref="D7:D8" si="1">G7/(1+E7+C7)*C7</f>
        <v>17432.5871559633</v>
      </c>
      <c r="E7" s="26">
        <v>0.07</v>
      </c>
      <c r="F7" s="57">
        <f t="shared" ref="F7:F8" si="2">G7/(1+C7+E7)*E7</f>
        <v>61014.0550458716</v>
      </c>
      <c r="G7" s="79">
        <v>950076</v>
      </c>
      <c r="H7" s="23">
        <v>43798</v>
      </c>
      <c r="I7" s="57">
        <v>950076</v>
      </c>
      <c r="J7" s="62" t="s">
        <v>21</v>
      </c>
    </row>
    <row r="8" ht="18" customHeight="1" spans="1:10">
      <c r="A8" s="23">
        <v>43846</v>
      </c>
      <c r="B8" s="57">
        <f t="shared" si="0"/>
        <v>1348300.91743119</v>
      </c>
      <c r="C8" s="24">
        <v>0.02</v>
      </c>
      <c r="D8" s="78">
        <f t="shared" si="1"/>
        <v>26966.0183486238</v>
      </c>
      <c r="E8" s="26">
        <v>0.07</v>
      </c>
      <c r="F8" s="57">
        <f t="shared" si="2"/>
        <v>94381.0642201835</v>
      </c>
      <c r="G8" s="79">
        <v>1469648</v>
      </c>
      <c r="H8" s="23">
        <v>43851</v>
      </c>
      <c r="I8" s="57">
        <v>1100000</v>
      </c>
      <c r="J8" s="62" t="s">
        <v>21</v>
      </c>
    </row>
    <row r="9" ht="18" customHeight="1" spans="1:10">
      <c r="A9" s="23"/>
      <c r="B9" s="57"/>
      <c r="C9" s="24"/>
      <c r="D9" s="78"/>
      <c r="E9" s="26"/>
      <c r="F9" s="57"/>
      <c r="G9" s="79"/>
      <c r="H9" s="23"/>
      <c r="I9" s="57"/>
      <c r="J9" s="62"/>
    </row>
    <row r="10" ht="18" customHeight="1" spans="1:10">
      <c r="A10" s="23"/>
      <c r="B10" s="57">
        <f t="shared" ref="B8:B10" si="3">G10/(1+C10+E10)</f>
        <v>0</v>
      </c>
      <c r="C10" s="24">
        <v>0.02</v>
      </c>
      <c r="D10" s="78">
        <f t="shared" ref="D8:D10" si="4">G10/(1+E10+C10)*C10</f>
        <v>0</v>
      </c>
      <c r="E10" s="26">
        <v>0.07</v>
      </c>
      <c r="F10" s="57">
        <f t="shared" ref="F8:F10" si="5">G10/(1+C10+E10)*E10</f>
        <v>0</v>
      </c>
      <c r="G10" s="79"/>
      <c r="H10" s="23"/>
      <c r="I10" s="57"/>
      <c r="J10" s="62"/>
    </row>
    <row r="11" ht="18" customHeight="1" spans="1:10">
      <c r="A11" s="28" t="s">
        <v>22</v>
      </c>
      <c r="B11" s="80">
        <f>SUM(B7:B10)</f>
        <v>2219930.27522935</v>
      </c>
      <c r="C11" s="30"/>
      <c r="D11" s="81">
        <f t="shared" ref="D11:G11" si="6">SUM(D7:D10)</f>
        <v>44398.6055045871</v>
      </c>
      <c r="E11" s="30"/>
      <c r="F11" s="82">
        <f>SUM(F7:F10)</f>
        <v>155395.119266055</v>
      </c>
      <c r="G11" s="81">
        <f t="shared" si="6"/>
        <v>2419724</v>
      </c>
      <c r="H11" s="32"/>
      <c r="I11" s="81">
        <f>SUM(I7:I10)</f>
        <v>2050076</v>
      </c>
      <c r="J11" s="32"/>
    </row>
    <row r="12" ht="18" customHeight="1" spans="1:12">
      <c r="A12" s="4" t="s">
        <v>23</v>
      </c>
      <c r="J12" s="6"/>
      <c r="K12" s="6"/>
      <c r="L12" s="7"/>
    </row>
    <row r="13" ht="18" customHeight="1" spans="1:15">
      <c r="A13" s="33" t="s">
        <v>24</v>
      </c>
      <c r="B13" s="21" t="s">
        <v>25</v>
      </c>
      <c r="C13" s="20" t="s">
        <v>26</v>
      </c>
      <c r="D13" s="20" t="s">
        <v>27</v>
      </c>
      <c r="E13" s="20" t="s">
        <v>16</v>
      </c>
      <c r="F13" s="21" t="s">
        <v>28</v>
      </c>
      <c r="G13" s="21" t="s">
        <v>14</v>
      </c>
      <c r="H13" s="20" t="s">
        <v>29</v>
      </c>
      <c r="I13" s="21" t="s">
        <v>30</v>
      </c>
      <c r="J13" s="20" t="s">
        <v>20</v>
      </c>
      <c r="K13" s="63" t="s">
        <v>31</v>
      </c>
      <c r="L13" s="22" t="s">
        <v>32</v>
      </c>
      <c r="M13" s="22" t="s">
        <v>33</v>
      </c>
      <c r="N13" s="22" t="s">
        <v>34</v>
      </c>
      <c r="O13" s="22" t="s">
        <v>35</v>
      </c>
    </row>
    <row r="14" s="2" customFormat="1" ht="18" customHeight="1" spans="1:15">
      <c r="A14" s="34">
        <v>43770</v>
      </c>
      <c r="B14" s="18">
        <f>ROUND(G14/(1+E14),2)</f>
        <v>41132.08</v>
      </c>
      <c r="C14" s="36"/>
      <c r="D14" s="37" t="s">
        <v>36</v>
      </c>
      <c r="E14" s="38">
        <v>0.06</v>
      </c>
      <c r="F14" s="18">
        <f t="shared" ref="F14:F41" si="7">ROUND(G14/(1+E14)*E14,2)</f>
        <v>2467.92</v>
      </c>
      <c r="G14" s="79">
        <v>43600</v>
      </c>
      <c r="H14" s="23"/>
      <c r="I14" s="57"/>
      <c r="J14" s="62"/>
      <c r="K14" s="64" t="s">
        <v>37</v>
      </c>
      <c r="L14" s="65" t="s">
        <v>38</v>
      </c>
      <c r="M14" s="66"/>
      <c r="N14" s="66"/>
      <c r="O14" s="65"/>
    </row>
    <row r="15" s="2" customFormat="1" ht="18" customHeight="1" spans="1:15">
      <c r="A15" s="34">
        <v>43770</v>
      </c>
      <c r="B15" s="18">
        <f t="shared" ref="B15:B35" si="8">ROUND(G15/(1+E15),2)</f>
        <v>223300.97</v>
      </c>
      <c r="C15" s="36"/>
      <c r="D15" s="37" t="s">
        <v>36</v>
      </c>
      <c r="E15" s="38">
        <v>0.03</v>
      </c>
      <c r="F15" s="18">
        <f t="shared" si="7"/>
        <v>6699.03</v>
      </c>
      <c r="G15" s="79">
        <f>98800*2+32400</f>
        <v>230000</v>
      </c>
      <c r="H15" s="23">
        <v>43803</v>
      </c>
      <c r="I15" s="57">
        <v>230000</v>
      </c>
      <c r="J15" s="62" t="s">
        <v>21</v>
      </c>
      <c r="K15" s="64" t="s">
        <v>39</v>
      </c>
      <c r="L15" s="65" t="s">
        <v>40</v>
      </c>
      <c r="M15" s="66" t="s">
        <v>41</v>
      </c>
      <c r="N15" s="66" t="s">
        <v>41</v>
      </c>
      <c r="O15" s="65"/>
    </row>
    <row r="16" s="2" customFormat="1" ht="18" customHeight="1" spans="1:15">
      <c r="A16" s="34">
        <v>43770</v>
      </c>
      <c r="B16" s="18">
        <f t="shared" si="8"/>
        <v>1886.79</v>
      </c>
      <c r="C16" s="36"/>
      <c r="D16" s="37" t="s">
        <v>36</v>
      </c>
      <c r="E16" s="38">
        <v>0.06</v>
      </c>
      <c r="F16" s="18">
        <f t="shared" si="7"/>
        <v>113.21</v>
      </c>
      <c r="G16" s="79">
        <f>120+800+120+900+60</f>
        <v>2000</v>
      </c>
      <c r="H16" s="23"/>
      <c r="I16" s="57"/>
      <c r="J16" s="62"/>
      <c r="K16" s="64" t="s">
        <v>42</v>
      </c>
      <c r="L16" s="65" t="s">
        <v>43</v>
      </c>
      <c r="M16" s="66"/>
      <c r="N16" s="66"/>
      <c r="O16" s="65"/>
    </row>
    <row r="17" s="2" customFormat="1" ht="18" customHeight="1" spans="1:15">
      <c r="A17" s="34">
        <v>43770</v>
      </c>
      <c r="B17" s="18">
        <f t="shared" si="8"/>
        <v>4845</v>
      </c>
      <c r="C17" s="36"/>
      <c r="D17" s="37" t="s">
        <v>44</v>
      </c>
      <c r="E17" s="39"/>
      <c r="F17" s="18">
        <f t="shared" si="7"/>
        <v>0</v>
      </c>
      <c r="G17" s="79">
        <f>3500+1345</f>
        <v>4845</v>
      </c>
      <c r="H17" s="23"/>
      <c r="I17" s="57"/>
      <c r="J17" s="62"/>
      <c r="K17" s="64" t="s">
        <v>45</v>
      </c>
      <c r="L17" s="65" t="s">
        <v>46</v>
      </c>
      <c r="M17" s="66"/>
      <c r="N17" s="66"/>
      <c r="O17" s="65"/>
    </row>
    <row r="18" s="2" customFormat="1" ht="18" customHeight="1" spans="1:15">
      <c r="A18" s="34">
        <v>43770</v>
      </c>
      <c r="B18" s="18">
        <f t="shared" si="8"/>
        <v>1970</v>
      </c>
      <c r="C18" s="36"/>
      <c r="D18" s="37" t="s">
        <v>44</v>
      </c>
      <c r="E18" s="39"/>
      <c r="F18" s="18">
        <f t="shared" si="7"/>
        <v>0</v>
      </c>
      <c r="G18" s="79">
        <v>1970</v>
      </c>
      <c r="H18" s="23"/>
      <c r="I18" s="57"/>
      <c r="J18" s="62"/>
      <c r="K18" s="64" t="s">
        <v>47</v>
      </c>
      <c r="L18" s="65" t="s">
        <v>48</v>
      </c>
      <c r="M18" s="66"/>
      <c r="N18" s="66"/>
      <c r="O18" s="65"/>
    </row>
    <row r="19" s="2" customFormat="1" ht="18" customHeight="1" spans="1:15">
      <c r="A19" s="34">
        <v>43770</v>
      </c>
      <c r="B19" s="18">
        <f t="shared" si="8"/>
        <v>489677.88</v>
      </c>
      <c r="C19" s="36"/>
      <c r="D19" s="37" t="s">
        <v>36</v>
      </c>
      <c r="E19" s="38">
        <v>0.13</v>
      </c>
      <c r="F19" s="18">
        <f t="shared" si="7"/>
        <v>63658.12</v>
      </c>
      <c r="G19" s="79">
        <f>108535+110800*3+112401</f>
        <v>553336</v>
      </c>
      <c r="H19" s="23">
        <v>43803</v>
      </c>
      <c r="I19" s="57">
        <v>540000</v>
      </c>
      <c r="J19" s="62" t="s">
        <v>21</v>
      </c>
      <c r="K19" s="64" t="s">
        <v>49</v>
      </c>
      <c r="L19" s="65" t="s">
        <v>50</v>
      </c>
      <c r="M19" s="66" t="s">
        <v>41</v>
      </c>
      <c r="N19" s="66" t="s">
        <v>41</v>
      </c>
      <c r="O19" s="65"/>
    </row>
    <row r="20" s="2" customFormat="1" ht="18" customHeight="1" spans="1:15">
      <c r="A20" s="34"/>
      <c r="B20" s="18">
        <f t="shared" si="8"/>
        <v>0</v>
      </c>
      <c r="C20" s="36"/>
      <c r="D20" s="37"/>
      <c r="E20" s="39"/>
      <c r="F20" s="18">
        <f t="shared" si="7"/>
        <v>0</v>
      </c>
      <c r="G20" s="79"/>
      <c r="H20" s="23">
        <v>43804</v>
      </c>
      <c r="I20" s="57">
        <v>8815</v>
      </c>
      <c r="J20" s="62" t="s">
        <v>51</v>
      </c>
      <c r="K20" s="64" t="s">
        <v>52</v>
      </c>
      <c r="L20" s="65"/>
      <c r="M20" s="66"/>
      <c r="N20" s="66"/>
      <c r="O20" s="65"/>
    </row>
    <row r="21" s="2" customFormat="1" ht="18" customHeight="1" spans="1:15">
      <c r="A21" s="34">
        <v>43800</v>
      </c>
      <c r="B21" s="18">
        <f t="shared" si="8"/>
        <v>85000</v>
      </c>
      <c r="C21" s="36"/>
      <c r="D21" s="37" t="s">
        <v>53</v>
      </c>
      <c r="E21" s="39"/>
      <c r="F21" s="18">
        <f t="shared" si="7"/>
        <v>0</v>
      </c>
      <c r="G21" s="79">
        <v>85000</v>
      </c>
      <c r="H21" s="23"/>
      <c r="I21" s="57"/>
      <c r="J21" s="62"/>
      <c r="K21" s="64" t="s">
        <v>54</v>
      </c>
      <c r="L21" s="65" t="s">
        <v>55</v>
      </c>
      <c r="M21" s="66"/>
      <c r="N21" s="66"/>
      <c r="O21" s="65"/>
    </row>
    <row r="22" s="2" customFormat="1" ht="18" customHeight="1" spans="1:15">
      <c r="A22" s="34">
        <v>43800</v>
      </c>
      <c r="B22" s="18">
        <f t="shared" si="8"/>
        <v>76635</v>
      </c>
      <c r="C22" s="36"/>
      <c r="D22" s="37" t="s">
        <v>53</v>
      </c>
      <c r="E22" s="39"/>
      <c r="F22" s="18">
        <f t="shared" si="7"/>
        <v>0</v>
      </c>
      <c r="G22" s="79">
        <v>76635</v>
      </c>
      <c r="H22" s="23" t="s">
        <v>56</v>
      </c>
      <c r="I22" s="57">
        <v>76635</v>
      </c>
      <c r="J22" s="62" t="s">
        <v>21</v>
      </c>
      <c r="K22" s="64" t="s">
        <v>57</v>
      </c>
      <c r="L22" s="65" t="s">
        <v>55</v>
      </c>
      <c r="M22" s="66"/>
      <c r="N22" s="66"/>
      <c r="O22" s="65"/>
    </row>
    <row r="23" s="2" customFormat="1" ht="18" customHeight="1" spans="1:15">
      <c r="A23" s="34">
        <v>43831</v>
      </c>
      <c r="B23" s="18">
        <f t="shared" si="8"/>
        <v>897673.45</v>
      </c>
      <c r="C23" s="36"/>
      <c r="D23" s="37" t="s">
        <v>36</v>
      </c>
      <c r="E23" s="38">
        <v>0.13</v>
      </c>
      <c r="F23" s="18">
        <f t="shared" si="7"/>
        <v>116697.55</v>
      </c>
      <c r="G23" s="83">
        <f>112420+112274+110800+87927+109830+112860+102860+112392+108938+44070</f>
        <v>1014371</v>
      </c>
      <c r="H23" s="23">
        <v>43852</v>
      </c>
      <c r="I23" s="57">
        <v>300000</v>
      </c>
      <c r="J23" s="62" t="s">
        <v>21</v>
      </c>
      <c r="K23" s="64" t="s">
        <v>49</v>
      </c>
      <c r="L23" s="65" t="s">
        <v>58</v>
      </c>
      <c r="M23" s="66"/>
      <c r="N23" s="66" t="s">
        <v>59</v>
      </c>
      <c r="O23" s="65"/>
    </row>
    <row r="24" s="2" customFormat="1" ht="18" customHeight="1" spans="1:15">
      <c r="A24" s="34">
        <v>43831</v>
      </c>
      <c r="B24" s="18">
        <f t="shared" si="8"/>
        <v>97088.35</v>
      </c>
      <c r="C24" s="36"/>
      <c r="D24" s="37" t="s">
        <v>36</v>
      </c>
      <c r="E24" s="38">
        <v>0.03</v>
      </c>
      <c r="F24" s="18">
        <f t="shared" si="7"/>
        <v>2912.65</v>
      </c>
      <c r="G24" s="83">
        <v>100001</v>
      </c>
      <c r="H24" s="23">
        <v>43852</v>
      </c>
      <c r="I24" s="57">
        <v>100001</v>
      </c>
      <c r="J24" s="62" t="s">
        <v>21</v>
      </c>
      <c r="K24" s="64" t="s">
        <v>60</v>
      </c>
      <c r="L24" s="65" t="s">
        <v>61</v>
      </c>
      <c r="M24" s="66"/>
      <c r="N24" s="66" t="s">
        <v>41</v>
      </c>
      <c r="O24" s="65"/>
    </row>
    <row r="25" s="2" customFormat="1" ht="18" customHeight="1" spans="1:15">
      <c r="A25" s="34">
        <v>43831</v>
      </c>
      <c r="B25" s="18">
        <f t="shared" si="8"/>
        <v>200000</v>
      </c>
      <c r="C25" s="36"/>
      <c r="D25" s="37" t="s">
        <v>44</v>
      </c>
      <c r="E25" s="38"/>
      <c r="F25" s="18">
        <f t="shared" si="7"/>
        <v>0</v>
      </c>
      <c r="G25" s="83">
        <f>100000*2</f>
        <v>200000</v>
      </c>
      <c r="H25" s="23">
        <v>43852</v>
      </c>
      <c r="I25" s="57">
        <v>200000</v>
      </c>
      <c r="J25" s="62" t="s">
        <v>21</v>
      </c>
      <c r="K25" s="64" t="s">
        <v>62</v>
      </c>
      <c r="L25" s="65" t="s">
        <v>63</v>
      </c>
      <c r="M25" s="66"/>
      <c r="N25" s="66"/>
      <c r="O25" s="65"/>
    </row>
    <row r="26" s="2" customFormat="1" ht="18" customHeight="1" spans="1:15">
      <c r="A26" s="34"/>
      <c r="B26" s="18">
        <f t="shared" si="8"/>
        <v>0</v>
      </c>
      <c r="C26" s="36"/>
      <c r="D26" s="37"/>
      <c r="E26" s="38"/>
      <c r="F26" s="18">
        <f t="shared" si="7"/>
        <v>0</v>
      </c>
      <c r="G26" s="83"/>
      <c r="H26" s="23">
        <v>43852</v>
      </c>
      <c r="I26" s="57">
        <v>500000</v>
      </c>
      <c r="J26" s="62" t="s">
        <v>21</v>
      </c>
      <c r="K26" s="64" t="s">
        <v>49</v>
      </c>
      <c r="L26" s="65"/>
      <c r="M26" s="66"/>
      <c r="N26" s="66"/>
      <c r="O26" s="65"/>
    </row>
    <row r="27" s="3" customFormat="1" ht="18" customHeight="1" spans="1:15">
      <c r="A27" s="34">
        <v>44032</v>
      </c>
      <c r="B27" s="18">
        <f t="shared" si="8"/>
        <v>200000</v>
      </c>
      <c r="C27" s="36"/>
      <c r="D27" s="37" t="s">
        <v>44</v>
      </c>
      <c r="E27" s="38"/>
      <c r="F27" s="18">
        <f t="shared" si="7"/>
        <v>0</v>
      </c>
      <c r="G27" s="79">
        <f>100000+100000</f>
        <v>200000</v>
      </c>
      <c r="H27" s="41"/>
      <c r="I27" s="18"/>
      <c r="J27" s="66"/>
      <c r="K27" s="64" t="s">
        <v>62</v>
      </c>
      <c r="L27" s="65" t="s">
        <v>63</v>
      </c>
      <c r="M27" s="67" t="s">
        <v>64</v>
      </c>
      <c r="N27" s="68"/>
      <c r="O27" s="69" t="s">
        <v>65</v>
      </c>
    </row>
    <row r="28" s="3" customFormat="1" ht="18" customHeight="1" spans="1:15">
      <c r="A28" s="34">
        <v>44166</v>
      </c>
      <c r="B28" s="18">
        <v>200500</v>
      </c>
      <c r="C28" s="36">
        <v>1</v>
      </c>
      <c r="D28" s="37" t="s">
        <v>66</v>
      </c>
      <c r="E28" s="38"/>
      <c r="F28" s="18">
        <v>0</v>
      </c>
      <c r="G28" s="79">
        <v>200500</v>
      </c>
      <c r="H28" s="41"/>
      <c r="I28" s="18"/>
      <c r="J28" s="66"/>
      <c r="K28" s="64" t="s">
        <v>67</v>
      </c>
      <c r="L28" s="65" t="s">
        <v>68</v>
      </c>
      <c r="M28" s="67" t="s">
        <v>69</v>
      </c>
      <c r="N28" s="68"/>
      <c r="O28" s="69"/>
    </row>
    <row r="29" s="3" customFormat="1" ht="18" customHeight="1" spans="1:15">
      <c r="A29" s="34"/>
      <c r="B29" s="18"/>
      <c r="C29" s="36"/>
      <c r="D29" s="37"/>
      <c r="E29" s="38"/>
      <c r="F29" s="18"/>
      <c r="G29" s="79"/>
      <c r="H29" s="41"/>
      <c r="I29" s="18"/>
      <c r="J29" s="66"/>
      <c r="K29" s="64"/>
      <c r="L29" s="65"/>
      <c r="M29" s="67"/>
      <c r="N29" s="68"/>
      <c r="O29" s="69"/>
    </row>
    <row r="30" s="3" customFormat="1" ht="18" customHeight="1" spans="1:15">
      <c r="A30" s="34"/>
      <c r="B30" s="18"/>
      <c r="C30" s="36"/>
      <c r="D30" s="37"/>
      <c r="E30" s="38"/>
      <c r="F30" s="18"/>
      <c r="G30" s="79"/>
      <c r="H30" s="41"/>
      <c r="I30" s="18"/>
      <c r="J30" s="66"/>
      <c r="K30" s="64"/>
      <c r="L30" s="65"/>
      <c r="M30" s="67"/>
      <c r="N30" s="68"/>
      <c r="O30" s="69"/>
    </row>
    <row r="31" s="3" customFormat="1" ht="18" customHeight="1" spans="1:15">
      <c r="A31" s="34"/>
      <c r="B31" s="18"/>
      <c r="C31" s="36"/>
      <c r="D31" s="37"/>
      <c r="E31" s="38"/>
      <c r="F31" s="18"/>
      <c r="G31" s="79"/>
      <c r="H31" s="41"/>
      <c r="I31" s="18"/>
      <c r="J31" s="66"/>
      <c r="K31" s="64"/>
      <c r="L31" s="65"/>
      <c r="M31" s="67"/>
      <c r="N31" s="68"/>
      <c r="O31" s="69"/>
    </row>
    <row r="32" s="3" customFormat="1" ht="18" customHeight="1" spans="1:15">
      <c r="A32" s="34"/>
      <c r="B32" s="18"/>
      <c r="C32" s="36"/>
      <c r="D32" s="37"/>
      <c r="E32" s="38"/>
      <c r="F32" s="18"/>
      <c r="G32" s="79"/>
      <c r="H32" s="41"/>
      <c r="I32" s="18"/>
      <c r="J32" s="66"/>
      <c r="K32" s="64"/>
      <c r="L32" s="65"/>
      <c r="M32" s="67"/>
      <c r="N32" s="68"/>
      <c r="O32" s="69"/>
    </row>
    <row r="33" s="3" customFormat="1" ht="18" customHeight="1" spans="1:15">
      <c r="A33" s="34"/>
      <c r="B33" s="18"/>
      <c r="C33" s="36"/>
      <c r="D33" s="37"/>
      <c r="E33" s="38"/>
      <c r="F33" s="18"/>
      <c r="G33" s="79"/>
      <c r="H33" s="41"/>
      <c r="I33" s="18"/>
      <c r="J33" s="66"/>
      <c r="K33" s="64"/>
      <c r="L33" s="65"/>
      <c r="M33" s="67"/>
      <c r="N33" s="68"/>
      <c r="O33" s="69"/>
    </row>
    <row r="34" s="3" customFormat="1" ht="18" customHeight="1" spans="1:15">
      <c r="A34" s="34"/>
      <c r="B34" s="18"/>
      <c r="C34" s="36"/>
      <c r="D34" s="37"/>
      <c r="E34" s="38"/>
      <c r="F34" s="18"/>
      <c r="G34" s="79"/>
      <c r="H34" s="41"/>
      <c r="I34" s="18"/>
      <c r="J34" s="66"/>
      <c r="K34" s="64"/>
      <c r="L34" s="65"/>
      <c r="M34" s="67"/>
      <c r="N34" s="68"/>
      <c r="O34" s="69"/>
    </row>
    <row r="35" s="3" customFormat="1" ht="18" customHeight="1" spans="1:15">
      <c r="A35" s="34"/>
      <c r="B35" s="18"/>
      <c r="C35" s="36"/>
      <c r="D35" s="37"/>
      <c r="E35" s="38"/>
      <c r="F35" s="18"/>
      <c r="G35" s="79"/>
      <c r="H35" s="41"/>
      <c r="I35" s="18"/>
      <c r="J35" s="66"/>
      <c r="K35" s="64"/>
      <c r="L35" s="65"/>
      <c r="M35" s="67"/>
      <c r="N35" s="68"/>
      <c r="O35" s="69"/>
    </row>
    <row r="36" s="3" customFormat="1" ht="18" customHeight="1" spans="1:15">
      <c r="A36" s="34"/>
      <c r="B36" s="18"/>
      <c r="C36" s="36"/>
      <c r="D36" s="37"/>
      <c r="E36" s="38"/>
      <c r="F36" s="18"/>
      <c r="G36" s="79"/>
      <c r="H36" s="41"/>
      <c r="I36" s="18"/>
      <c r="J36" s="66"/>
      <c r="K36" s="64"/>
      <c r="L36" s="65"/>
      <c r="M36" s="67"/>
      <c r="N36" s="68"/>
      <c r="O36" s="69"/>
    </row>
    <row r="37" s="3" customFormat="1" ht="18" customHeight="1" spans="1:15">
      <c r="A37" s="34"/>
      <c r="B37" s="18"/>
      <c r="C37" s="36"/>
      <c r="D37" s="37"/>
      <c r="E37" s="38"/>
      <c r="F37" s="18"/>
      <c r="G37" s="79"/>
      <c r="H37" s="41"/>
      <c r="I37" s="18"/>
      <c r="J37" s="66"/>
      <c r="K37" s="64"/>
      <c r="L37" s="65"/>
      <c r="M37" s="67"/>
      <c r="N37" s="68"/>
      <c r="O37" s="69"/>
    </row>
    <row r="38" s="3" customFormat="1" ht="18" customHeight="1" spans="1:15">
      <c r="A38" s="34"/>
      <c r="B38" s="18"/>
      <c r="C38" s="36"/>
      <c r="D38" s="37"/>
      <c r="E38" s="38"/>
      <c r="F38" s="18"/>
      <c r="G38" s="79"/>
      <c r="H38" s="41"/>
      <c r="I38" s="18"/>
      <c r="J38" s="66"/>
      <c r="K38" s="64"/>
      <c r="L38" s="65"/>
      <c r="M38" s="67"/>
      <c r="N38" s="68"/>
      <c r="O38" s="69"/>
    </row>
    <row r="39" s="3" customFormat="1" ht="18" customHeight="1" spans="1:15">
      <c r="A39" s="42"/>
      <c r="B39" s="18">
        <f t="shared" ref="B39:B46" si="9">ROUND(G39/(1+E39),2)</f>
        <v>0</v>
      </c>
      <c r="C39" s="43"/>
      <c r="D39" s="44"/>
      <c r="E39" s="45"/>
      <c r="F39" s="18">
        <f t="shared" ref="F39:F52" si="10">ROUND(G39/(1+E39)*E39,2)</f>
        <v>0</v>
      </c>
      <c r="G39" s="84"/>
      <c r="H39" s="23">
        <v>44033</v>
      </c>
      <c r="I39" s="18">
        <v>-145528</v>
      </c>
      <c r="J39" s="66" t="s">
        <v>21</v>
      </c>
      <c r="K39" s="64" t="s">
        <v>70</v>
      </c>
      <c r="L39" s="69"/>
      <c r="M39" s="68"/>
      <c r="N39" s="68"/>
      <c r="O39" s="69"/>
    </row>
    <row r="40" s="2" customFormat="1" ht="18" customHeight="1" spans="1:15">
      <c r="A40" s="34"/>
      <c r="B40" s="18">
        <f t="shared" si="9"/>
        <v>0</v>
      </c>
      <c r="C40" s="36"/>
      <c r="D40" s="37"/>
      <c r="E40" s="38"/>
      <c r="F40" s="18">
        <f t="shared" si="10"/>
        <v>0</v>
      </c>
      <c r="G40" s="83"/>
      <c r="H40" s="23">
        <v>44036</v>
      </c>
      <c r="I40" s="18">
        <v>145528</v>
      </c>
      <c r="J40" s="62" t="s">
        <v>51</v>
      </c>
      <c r="K40" s="64" t="s">
        <v>71</v>
      </c>
      <c r="L40" s="65"/>
      <c r="M40" s="66"/>
      <c r="N40" s="66"/>
      <c r="O40" s="65"/>
    </row>
    <row r="41" s="2" customFormat="1" ht="18" customHeight="1" spans="1:15">
      <c r="A41" s="34"/>
      <c r="B41" s="18">
        <f t="shared" si="9"/>
        <v>0</v>
      </c>
      <c r="C41" s="36"/>
      <c r="D41" s="37"/>
      <c r="E41" s="38"/>
      <c r="F41" s="18">
        <f t="shared" si="10"/>
        <v>0</v>
      </c>
      <c r="G41" s="83"/>
      <c r="H41" s="23" t="s">
        <v>72</v>
      </c>
      <c r="I41" s="57">
        <v>100</v>
      </c>
      <c r="J41" s="62" t="s">
        <v>73</v>
      </c>
      <c r="K41" s="64" t="s">
        <v>74</v>
      </c>
      <c r="L41" s="65"/>
      <c r="M41" s="66"/>
      <c r="N41" s="66"/>
      <c r="O41" s="65"/>
    </row>
    <row r="42" s="2" customFormat="1" ht="18" customHeight="1" spans="1:15">
      <c r="A42" s="34"/>
      <c r="B42" s="18">
        <f t="shared" si="9"/>
        <v>0</v>
      </c>
      <c r="C42" s="36"/>
      <c r="D42" s="37"/>
      <c r="E42" s="38"/>
      <c r="F42" s="18">
        <f t="shared" si="10"/>
        <v>0</v>
      </c>
      <c r="G42" s="83"/>
      <c r="H42" s="23" t="s">
        <v>72</v>
      </c>
      <c r="I42" s="57">
        <v>400</v>
      </c>
      <c r="J42" s="62" t="s">
        <v>73</v>
      </c>
      <c r="K42" s="64" t="s">
        <v>74</v>
      </c>
      <c r="L42" s="65"/>
      <c r="M42" s="66"/>
      <c r="N42" s="66"/>
      <c r="O42" s="65"/>
    </row>
    <row r="43" s="2" customFormat="1" ht="18" customHeight="1" spans="1:15">
      <c r="A43" s="34"/>
      <c r="B43" s="18">
        <f t="shared" si="9"/>
        <v>0</v>
      </c>
      <c r="C43" s="36"/>
      <c r="D43" s="37"/>
      <c r="E43" s="38"/>
      <c r="F43" s="18">
        <f t="shared" si="10"/>
        <v>0</v>
      </c>
      <c r="G43" s="83"/>
      <c r="H43" s="23" t="s">
        <v>72</v>
      </c>
      <c r="I43" s="57">
        <v>-10473</v>
      </c>
      <c r="J43" s="62" t="s">
        <v>75</v>
      </c>
      <c r="K43" s="64" t="s">
        <v>76</v>
      </c>
      <c r="L43" s="65"/>
      <c r="M43" s="66"/>
      <c r="N43" s="66"/>
      <c r="O43" s="65"/>
    </row>
    <row r="44" s="2" customFormat="1" ht="18" customHeight="1" spans="1:15">
      <c r="A44" s="34"/>
      <c r="B44" s="18">
        <f t="shared" si="9"/>
        <v>0</v>
      </c>
      <c r="C44" s="36"/>
      <c r="D44" s="37"/>
      <c r="E44" s="38"/>
      <c r="F44" s="18">
        <f t="shared" si="10"/>
        <v>0</v>
      </c>
      <c r="G44" s="83"/>
      <c r="H44" s="23" t="s">
        <v>72</v>
      </c>
      <c r="I44" s="86">
        <v>14700</v>
      </c>
      <c r="J44" s="62" t="s">
        <v>73</v>
      </c>
      <c r="K44" s="64" t="s">
        <v>77</v>
      </c>
      <c r="L44" s="65"/>
      <c r="M44" s="66"/>
      <c r="N44" s="66"/>
      <c r="O44" s="65"/>
    </row>
    <row r="45" s="2" customFormat="1" ht="18" customHeight="1" spans="1:15">
      <c r="A45" s="34"/>
      <c r="B45" s="18">
        <f t="shared" si="9"/>
        <v>0</v>
      </c>
      <c r="C45" s="36"/>
      <c r="D45" s="37"/>
      <c r="E45" s="39"/>
      <c r="F45" s="18">
        <f t="shared" si="10"/>
        <v>0</v>
      </c>
      <c r="G45" s="79"/>
      <c r="H45" s="23" t="s">
        <v>78</v>
      </c>
      <c r="I45" s="86">
        <v>809</v>
      </c>
      <c r="J45" s="62" t="s">
        <v>73</v>
      </c>
      <c r="K45" s="64" t="s">
        <v>79</v>
      </c>
      <c r="L45" s="65"/>
      <c r="M45" s="66"/>
      <c r="N45" s="66"/>
      <c r="O45" s="65"/>
    </row>
    <row r="46" s="2" customFormat="1" ht="18" customHeight="1" spans="1:15">
      <c r="A46" s="34"/>
      <c r="B46" s="18">
        <f t="shared" si="9"/>
        <v>0</v>
      </c>
      <c r="C46" s="36"/>
      <c r="D46" s="37"/>
      <c r="E46" s="39"/>
      <c r="F46" s="18">
        <f t="shared" si="10"/>
        <v>0</v>
      </c>
      <c r="G46" s="79"/>
      <c r="H46" s="23" t="s">
        <v>72</v>
      </c>
      <c r="I46" s="57">
        <v>300</v>
      </c>
      <c r="J46" s="62" t="s">
        <v>73</v>
      </c>
      <c r="K46" s="64" t="s">
        <v>74</v>
      </c>
      <c r="L46" s="65"/>
      <c r="M46" s="66"/>
      <c r="N46" s="66"/>
      <c r="O46" s="65"/>
    </row>
    <row r="47" s="2" customFormat="1" ht="18" customHeight="1" spans="1:15">
      <c r="A47" s="34"/>
      <c r="B47" s="18">
        <f t="shared" ref="B42:B52" si="11">ROUND(G47/(1+E47),2)</f>
        <v>0</v>
      </c>
      <c r="C47" s="36"/>
      <c r="D47" s="37"/>
      <c r="E47" s="39"/>
      <c r="F47" s="18">
        <f t="shared" si="10"/>
        <v>0</v>
      </c>
      <c r="G47" s="79"/>
      <c r="H47" s="23" t="s">
        <v>72</v>
      </c>
      <c r="I47" s="57">
        <v>10473</v>
      </c>
      <c r="J47" s="62" t="s">
        <v>80</v>
      </c>
      <c r="K47" s="64" t="s">
        <v>81</v>
      </c>
      <c r="L47" s="65"/>
      <c r="M47" s="66"/>
      <c r="N47" s="66"/>
      <c r="O47" s="65"/>
    </row>
    <row r="48" s="2" customFormat="1" ht="18" customHeight="1" spans="1:15">
      <c r="A48" s="34"/>
      <c r="B48" s="18">
        <f t="shared" si="11"/>
        <v>0</v>
      </c>
      <c r="C48" s="36"/>
      <c r="D48" s="37"/>
      <c r="E48" s="39"/>
      <c r="F48" s="18">
        <f t="shared" si="10"/>
        <v>0</v>
      </c>
      <c r="G48" s="79"/>
      <c r="H48" s="23" t="s">
        <v>72</v>
      </c>
      <c r="I48" s="86">
        <v>8717</v>
      </c>
      <c r="J48" s="62" t="s">
        <v>73</v>
      </c>
      <c r="K48" s="64" t="s">
        <v>77</v>
      </c>
      <c r="L48" s="65"/>
      <c r="M48" s="66"/>
      <c r="N48" s="66"/>
      <c r="O48" s="65"/>
    </row>
    <row r="49" s="2" customFormat="1" ht="18" customHeight="1" spans="1:15">
      <c r="A49" s="34"/>
      <c r="B49" s="18">
        <f t="shared" si="11"/>
        <v>0</v>
      </c>
      <c r="C49" s="36"/>
      <c r="D49" s="37"/>
      <c r="E49" s="39"/>
      <c r="F49" s="18">
        <f t="shared" si="10"/>
        <v>0</v>
      </c>
      <c r="G49" s="79"/>
      <c r="H49" s="23" t="s">
        <v>72</v>
      </c>
      <c r="I49" s="86">
        <v>808</v>
      </c>
      <c r="J49" s="62" t="s">
        <v>73</v>
      </c>
      <c r="K49" s="64" t="s">
        <v>82</v>
      </c>
      <c r="L49" s="65"/>
      <c r="M49" s="66"/>
      <c r="N49" s="66"/>
      <c r="O49" s="65"/>
    </row>
    <row r="50" s="2" customFormat="1" ht="18" customHeight="1" spans="1:15">
      <c r="A50" s="34"/>
      <c r="B50" s="18">
        <f t="shared" si="11"/>
        <v>58211</v>
      </c>
      <c r="C50" s="36"/>
      <c r="D50" s="37"/>
      <c r="E50" s="39"/>
      <c r="F50" s="18">
        <f t="shared" si="10"/>
        <v>0</v>
      </c>
      <c r="G50" s="79">
        <v>58211</v>
      </c>
      <c r="H50" s="23" t="s">
        <v>72</v>
      </c>
      <c r="I50" s="57">
        <f>G50</f>
        <v>58211</v>
      </c>
      <c r="J50" s="62" t="s">
        <v>73</v>
      </c>
      <c r="K50" s="64" t="s">
        <v>83</v>
      </c>
      <c r="L50" s="65" t="s">
        <v>84</v>
      </c>
      <c r="M50" s="66"/>
      <c r="N50" s="66"/>
      <c r="O50" s="65"/>
    </row>
    <row r="51" s="2" customFormat="1" ht="18" customHeight="1" spans="1:15">
      <c r="A51" s="34"/>
      <c r="B51" s="18">
        <f t="shared" si="11"/>
        <v>0</v>
      </c>
      <c r="C51" s="36"/>
      <c r="D51" s="37"/>
      <c r="E51" s="39"/>
      <c r="F51" s="18">
        <f t="shared" si="10"/>
        <v>0</v>
      </c>
      <c r="G51" s="79"/>
      <c r="H51" s="23" t="s">
        <v>72</v>
      </c>
      <c r="I51" s="57">
        <v>500</v>
      </c>
      <c r="J51" s="62" t="s">
        <v>73</v>
      </c>
      <c r="K51" s="64" t="s">
        <v>85</v>
      </c>
      <c r="L51" s="65"/>
      <c r="M51" s="66"/>
      <c r="N51" s="66"/>
      <c r="O51" s="65"/>
    </row>
    <row r="52" s="2" customFormat="1" ht="18" customHeight="1" spans="1:15">
      <c r="A52" s="34"/>
      <c r="B52" s="18">
        <f t="shared" si="11"/>
        <v>0</v>
      </c>
      <c r="C52" s="36"/>
      <c r="D52" s="37"/>
      <c r="E52" s="39"/>
      <c r="F52" s="18">
        <f t="shared" si="10"/>
        <v>0</v>
      </c>
      <c r="G52" s="79"/>
      <c r="H52" s="47"/>
      <c r="I52" s="87"/>
      <c r="J52" s="72"/>
      <c r="K52" s="73"/>
      <c r="L52" s="65"/>
      <c r="M52" s="66"/>
      <c r="N52" s="66"/>
      <c r="O52" s="65"/>
    </row>
    <row r="53" ht="18" customHeight="1" spans="1:15">
      <c r="A53" s="30" t="s">
        <v>22</v>
      </c>
      <c r="B53" s="80">
        <f>SUM(B14:B52)</f>
        <v>2577920.52</v>
      </c>
      <c r="C53" s="30"/>
      <c r="D53" s="48"/>
      <c r="E53" s="48"/>
      <c r="F53" s="82">
        <f>SUM(F14:F52)</f>
        <v>192548.48</v>
      </c>
      <c r="G53" s="85">
        <f>SUM(G14:G52)</f>
        <v>2770469</v>
      </c>
      <c r="H53" s="50"/>
      <c r="I53" s="81">
        <f>SUM(I14:I52)</f>
        <v>2039996</v>
      </c>
      <c r="J53" s="74"/>
      <c r="K53" s="48"/>
      <c r="L53" s="32"/>
      <c r="M53" s="62"/>
      <c r="N53" s="62"/>
      <c r="O53" s="32"/>
    </row>
    <row r="54" ht="18" customHeight="1" spans="1:14">
      <c r="A54" s="51" t="s">
        <v>86</v>
      </c>
      <c r="B54" s="53">
        <f>B11*0.96</f>
        <v>2131133.06422018</v>
      </c>
      <c r="C54" s="51"/>
      <c r="D54" s="52"/>
      <c r="E54" s="52"/>
      <c r="F54" s="53"/>
      <c r="G54" s="53">
        <f>G11-G53</f>
        <v>-350745</v>
      </c>
      <c r="H54" s="22" t="s">
        <v>87</v>
      </c>
      <c r="I54" s="81">
        <f>I11-I53</f>
        <v>10080</v>
      </c>
      <c r="J54" s="1"/>
      <c r="K54" s="75"/>
      <c r="M54" s="76"/>
      <c r="N54" s="76"/>
    </row>
    <row r="55" ht="18" customHeight="1" spans="1:14">
      <c r="A55" s="51" t="s">
        <v>88</v>
      </c>
      <c r="B55" s="53">
        <f>B54-B53</f>
        <v>-446787.45577982</v>
      </c>
      <c r="C55" s="51"/>
      <c r="D55" s="52"/>
      <c r="E55" s="52"/>
      <c r="F55" s="53"/>
      <c r="G55" s="53"/>
      <c r="H55" s="54"/>
      <c r="I55" s="53"/>
      <c r="J55" s="1"/>
      <c r="K55" s="75"/>
      <c r="M55" s="76"/>
      <c r="N55" s="76"/>
    </row>
    <row r="56" ht="18" customHeight="1" spans="1:3">
      <c r="A56" s="4" t="s">
        <v>89</v>
      </c>
      <c r="C56" s="4"/>
    </row>
    <row r="57" ht="18" customHeight="1" spans="1:8">
      <c r="A57" s="22" t="s">
        <v>90</v>
      </c>
      <c r="B57" s="21" t="s">
        <v>91</v>
      </c>
      <c r="C57" s="32"/>
      <c r="D57" s="22" t="s">
        <v>90</v>
      </c>
      <c r="E57" s="20" t="s">
        <v>16</v>
      </c>
      <c r="F57" s="21" t="s">
        <v>91</v>
      </c>
      <c r="G57" s="21" t="s">
        <v>92</v>
      </c>
      <c r="H57" s="21" t="s">
        <v>93</v>
      </c>
    </row>
    <row r="58" ht="18" customHeight="1" spans="1:8">
      <c r="A58" s="32" t="s">
        <v>94</v>
      </c>
      <c r="B58" s="18">
        <f>(B54-B53)*0.25</f>
        <v>-111696.863944955</v>
      </c>
      <c r="C58" s="32"/>
      <c r="D58" s="28" t="s">
        <v>95</v>
      </c>
      <c r="E58" s="22" t="s">
        <v>96</v>
      </c>
      <c r="F58" s="82">
        <f>F11-F53</f>
        <v>-37153.3607339449</v>
      </c>
      <c r="G58" s="82">
        <v>0</v>
      </c>
      <c r="H58" s="82">
        <v>0</v>
      </c>
    </row>
    <row r="59" ht="18" customHeight="1" spans="1:8">
      <c r="A59" s="32" t="s">
        <v>97</v>
      </c>
      <c r="B59" s="55" t="s">
        <v>98</v>
      </c>
      <c r="C59" s="32"/>
      <c r="D59" s="56" t="s">
        <v>99</v>
      </c>
      <c r="E59" s="14">
        <v>0.07</v>
      </c>
      <c r="F59" s="57">
        <f>F58*E59</f>
        <v>-2600.73525137614</v>
      </c>
      <c r="G59" s="57">
        <v>0</v>
      </c>
      <c r="H59" s="57">
        <v>0</v>
      </c>
    </row>
    <row r="60" ht="18" customHeight="1" spans="1:8">
      <c r="A60" s="32" t="s">
        <v>100</v>
      </c>
      <c r="B60" s="55"/>
      <c r="C60" s="32"/>
      <c r="D60" s="56" t="s">
        <v>101</v>
      </c>
      <c r="E60" s="14">
        <v>0.03</v>
      </c>
      <c r="F60" s="57">
        <f>F58*E60</f>
        <v>-1114.60082201835</v>
      </c>
      <c r="G60" s="57">
        <v>0</v>
      </c>
      <c r="H60" s="57">
        <v>0</v>
      </c>
    </row>
    <row r="61" ht="18" customHeight="1" spans="1:8">
      <c r="A61" s="32"/>
      <c r="B61" s="57"/>
      <c r="C61" s="32"/>
      <c r="D61" s="56" t="s">
        <v>102</v>
      </c>
      <c r="E61" s="14">
        <v>0.02</v>
      </c>
      <c r="F61" s="57">
        <f>F58*E61</f>
        <v>-743.067214678898</v>
      </c>
      <c r="G61" s="57">
        <v>0</v>
      </c>
      <c r="H61" s="57">
        <v>0</v>
      </c>
    </row>
    <row r="62" ht="18" customHeight="1" spans="1:8">
      <c r="A62" s="28" t="s">
        <v>103</v>
      </c>
      <c r="B62" s="80">
        <f>SUM(B58:B61)</f>
        <v>-111696.863944955</v>
      </c>
      <c r="C62" s="32"/>
      <c r="D62" s="33" t="s">
        <v>103</v>
      </c>
      <c r="E62" s="28"/>
      <c r="F62" s="82">
        <f>SUM(F58:F61)</f>
        <v>-41611.7640220183</v>
      </c>
      <c r="G62" s="82">
        <v>0</v>
      </c>
      <c r="H62" s="82">
        <v>0</v>
      </c>
    </row>
    <row r="63" ht="18" customHeight="1" spans="3:8">
      <c r="C63" s="4"/>
      <c r="D63" s="12" t="s">
        <v>97</v>
      </c>
      <c r="E63" s="58">
        <v>0.0003</v>
      </c>
      <c r="F63" s="57">
        <f>G11*E63</f>
        <v>725.9172</v>
      </c>
      <c r="G63" s="57">
        <f>G7*E63</f>
        <v>285.0228</v>
      </c>
      <c r="H63" s="57">
        <v>0</v>
      </c>
    </row>
    <row r="64" ht="18" customHeight="1" spans="3:8">
      <c r="C64" s="4"/>
      <c r="D64" s="12" t="s">
        <v>100</v>
      </c>
      <c r="E64" s="58">
        <v>0.0006</v>
      </c>
      <c r="F64" s="57">
        <f>B11*E64</f>
        <v>1331.95816513761</v>
      </c>
      <c r="G64" s="57">
        <f>B7*E64</f>
        <v>522.977614678899</v>
      </c>
      <c r="H64" s="57">
        <f>B8*E64</f>
        <v>808.980550458714</v>
      </c>
    </row>
    <row r="65" ht="18" customHeight="1" spans="3:8">
      <c r="C65" s="4"/>
      <c r="D65" s="20" t="s">
        <v>103</v>
      </c>
      <c r="E65" s="48"/>
      <c r="F65" s="81">
        <f>F64+F63</f>
        <v>2057.87536513761</v>
      </c>
      <c r="G65" s="81">
        <f>G63+G64</f>
        <v>808.000414678899</v>
      </c>
      <c r="H65" s="81">
        <f>H63+H64</f>
        <v>808.980550458714</v>
      </c>
    </row>
    <row r="66" ht="18" customHeight="1" spans="3:8">
      <c r="C66" s="4"/>
      <c r="D66" s="20" t="s">
        <v>22</v>
      </c>
      <c r="E66" s="30"/>
      <c r="F66" s="81">
        <f t="shared" ref="F66:H66" si="12">F62+F65</f>
        <v>-39553.8886568807</v>
      </c>
      <c r="G66" s="81">
        <f t="shared" si="12"/>
        <v>808.000414678899</v>
      </c>
      <c r="H66" s="81">
        <f t="shared" si="12"/>
        <v>808.980550458714</v>
      </c>
    </row>
    <row r="67" ht="18" customHeight="1" spans="3:8">
      <c r="C67" s="4"/>
      <c r="D67" s="30" t="s">
        <v>94</v>
      </c>
      <c r="E67" s="48">
        <v>0.01</v>
      </c>
      <c r="F67" s="81">
        <f>B7*E67+G8*E67</f>
        <v>23412.7735779817</v>
      </c>
      <c r="G67" s="81">
        <f>B7*E67</f>
        <v>8716.29357798165</v>
      </c>
      <c r="H67" s="81">
        <f>G8*E67</f>
        <v>14696.48</v>
      </c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</sheetData>
  <autoFilter ref="A13:O6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tabSelected="1" topLeftCell="A31" workbookViewId="0">
      <selection activeCell="F14" sqref="F14:F28"/>
    </sheetView>
  </sheetViews>
  <sheetFormatPr defaultColWidth="9" defaultRowHeight="11.25"/>
  <cols>
    <col min="1" max="1" width="10.75" style="4" customWidth="1"/>
    <col min="2" max="2" width="13.125" style="5" customWidth="1"/>
    <col min="3" max="3" width="6" style="6" customWidth="1"/>
    <col min="4" max="4" width="13.375" style="6" customWidth="1"/>
    <col min="5" max="5" width="6" style="6" customWidth="1"/>
    <col min="6" max="6" width="13.125" style="5" customWidth="1"/>
    <col min="7" max="7" width="14.125" style="5" customWidth="1"/>
    <col min="8" max="8" width="14" style="6" customWidth="1"/>
    <col min="9" max="9" width="13.875" style="5" customWidth="1"/>
    <col min="10" max="10" width="6.125" style="7" customWidth="1"/>
    <col min="11" max="11" width="31.5" style="1" customWidth="1"/>
    <col min="12" max="12" width="12.75" style="1" customWidth="1"/>
    <col min="13" max="13" width="6" style="1" customWidth="1"/>
    <col min="14" max="14" width="5.625" style="1" customWidth="1"/>
    <col min="15" max="16384" width="9" style="1"/>
  </cols>
  <sheetData>
    <row r="1" s="1" customFormat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s="1" customFormat="1" ht="18" customHeight="1" spans="1:12">
      <c r="A2" s="10" t="s">
        <v>1</v>
      </c>
      <c r="B2" s="11">
        <v>43591</v>
      </c>
      <c r="C2" s="12" t="s">
        <v>2</v>
      </c>
      <c r="D2" s="13">
        <v>2910566</v>
      </c>
      <c r="E2" s="14" t="s">
        <v>3</v>
      </c>
      <c r="F2" s="15" t="s">
        <v>4</v>
      </c>
      <c r="G2" s="16" t="s">
        <v>5</v>
      </c>
      <c r="H2" s="17" t="s">
        <v>6</v>
      </c>
      <c r="I2" s="59"/>
      <c r="J2" s="60"/>
      <c r="K2" s="19"/>
      <c r="L2" s="19"/>
    </row>
    <row r="3" s="1" customFormat="1" ht="18" customHeight="1" spans="1:12">
      <c r="A3" s="10" t="s">
        <v>7</v>
      </c>
      <c r="B3" s="18"/>
      <c r="C3" s="12" t="s">
        <v>8</v>
      </c>
      <c r="D3" s="12"/>
      <c r="E3" s="6"/>
      <c r="F3" s="5"/>
      <c r="G3" s="5"/>
      <c r="H3" s="19"/>
      <c r="I3" s="61"/>
      <c r="J3" s="19"/>
      <c r="K3" s="19"/>
      <c r="L3" s="19"/>
    </row>
    <row r="4" s="1" customFormat="1" ht="18" customHeight="1" spans="1:12">
      <c r="A4" s="4" t="s">
        <v>9</v>
      </c>
      <c r="B4" s="5"/>
      <c r="C4" s="6"/>
      <c r="D4" s="6"/>
      <c r="E4" s="6"/>
      <c r="F4" s="5"/>
      <c r="G4" s="5"/>
      <c r="H4" s="19"/>
      <c r="I4" s="61"/>
      <c r="J4" s="19"/>
      <c r="K4" s="19"/>
      <c r="L4" s="19"/>
    </row>
    <row r="5" s="1" customFormat="1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s="1" customFormat="1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s="1" customFormat="1" ht="18" customHeight="1" spans="1:10">
      <c r="A7" s="23">
        <v>43775</v>
      </c>
      <c r="B7" s="12">
        <f t="shared" ref="B7:B10" si="0">G7/(1+C7+E7)</f>
        <v>871629.357798165</v>
      </c>
      <c r="C7" s="24">
        <v>0.02</v>
      </c>
      <c r="D7" s="25">
        <f t="shared" ref="D7:D10" si="1">G7/(1+E7+C7)*C7</f>
        <v>17432.5871559633</v>
      </c>
      <c r="E7" s="26">
        <v>0.07</v>
      </c>
      <c r="F7" s="12">
        <f t="shared" ref="F7:F10" si="2">G7/(1+C7+E7)*E7</f>
        <v>61014.0550458716</v>
      </c>
      <c r="G7" s="27">
        <v>950076</v>
      </c>
      <c r="H7" s="23">
        <v>43798</v>
      </c>
      <c r="I7" s="12">
        <v>950076</v>
      </c>
      <c r="J7" s="62" t="s">
        <v>21</v>
      </c>
    </row>
    <row r="8" s="1" customFormat="1" ht="18" customHeight="1" spans="1:10">
      <c r="A8" s="23">
        <v>43846</v>
      </c>
      <c r="B8" s="12">
        <f t="shared" si="0"/>
        <v>1348300.91743119</v>
      </c>
      <c r="C8" s="24">
        <v>0.02</v>
      </c>
      <c r="D8" s="25">
        <f t="shared" si="1"/>
        <v>26966.0183486238</v>
      </c>
      <c r="E8" s="26">
        <v>0.07</v>
      </c>
      <c r="F8" s="12">
        <f t="shared" si="2"/>
        <v>94381.0642201835</v>
      </c>
      <c r="G8" s="27">
        <v>1469648</v>
      </c>
      <c r="H8" s="23">
        <v>43851</v>
      </c>
      <c r="I8" s="12">
        <v>1100000</v>
      </c>
      <c r="J8" s="62" t="s">
        <v>21</v>
      </c>
    </row>
    <row r="9" s="1" customFormat="1" ht="18" customHeight="1" spans="1:10">
      <c r="A9" s="23"/>
      <c r="B9" s="12"/>
      <c r="C9" s="24"/>
      <c r="D9" s="25"/>
      <c r="E9" s="26"/>
      <c r="F9" s="12"/>
      <c r="G9" s="27"/>
      <c r="H9" s="23"/>
      <c r="I9" s="12"/>
      <c r="J9" s="62"/>
    </row>
    <row r="10" s="1" customFormat="1" ht="18" customHeight="1" spans="1:10">
      <c r="A10" s="23"/>
      <c r="B10" s="12">
        <f t="shared" si="0"/>
        <v>0</v>
      </c>
      <c r="C10" s="24">
        <v>0.02</v>
      </c>
      <c r="D10" s="25">
        <f t="shared" si="1"/>
        <v>0</v>
      </c>
      <c r="E10" s="26">
        <v>0.07</v>
      </c>
      <c r="F10" s="12">
        <f t="shared" si="2"/>
        <v>0</v>
      </c>
      <c r="G10" s="27"/>
      <c r="H10" s="23"/>
      <c r="I10" s="12"/>
      <c r="J10" s="62"/>
    </row>
    <row r="11" s="1" customFormat="1" ht="18" customHeight="1" spans="1:10">
      <c r="A11" s="28" t="s">
        <v>22</v>
      </c>
      <c r="B11" s="29">
        <f t="shared" ref="B11:G11" si="3">SUM(B7:B10)</f>
        <v>2219930.27522936</v>
      </c>
      <c r="C11" s="30"/>
      <c r="D11" s="30">
        <f t="shared" si="3"/>
        <v>44398.6055045871</v>
      </c>
      <c r="E11" s="30"/>
      <c r="F11" s="31">
        <f t="shared" si="3"/>
        <v>155395.119266055</v>
      </c>
      <c r="G11" s="30">
        <f t="shared" si="3"/>
        <v>2419724</v>
      </c>
      <c r="H11" s="32"/>
      <c r="I11" s="30">
        <f>SUM(I7:I10)</f>
        <v>2050076</v>
      </c>
      <c r="J11" s="32"/>
    </row>
    <row r="12" s="1" customFormat="1" ht="18" customHeight="1" spans="1:12">
      <c r="A12" s="4" t="s">
        <v>23</v>
      </c>
      <c r="B12" s="5"/>
      <c r="C12" s="6"/>
      <c r="D12" s="6"/>
      <c r="E12" s="6"/>
      <c r="F12" s="5"/>
      <c r="G12" s="5"/>
      <c r="H12" s="6"/>
      <c r="I12" s="5"/>
      <c r="J12" s="6"/>
      <c r="K12" s="6"/>
      <c r="L12" s="7"/>
    </row>
    <row r="13" s="1" customFormat="1" ht="18" customHeight="1" spans="1:15">
      <c r="A13" s="33" t="s">
        <v>24</v>
      </c>
      <c r="B13" s="21" t="s">
        <v>25</v>
      </c>
      <c r="C13" s="20" t="s">
        <v>26</v>
      </c>
      <c r="D13" s="20" t="s">
        <v>27</v>
      </c>
      <c r="E13" s="20" t="s">
        <v>16</v>
      </c>
      <c r="F13" s="21" t="s">
        <v>28</v>
      </c>
      <c r="G13" s="21" t="s">
        <v>14</v>
      </c>
      <c r="H13" s="20" t="s">
        <v>29</v>
      </c>
      <c r="I13" s="21" t="s">
        <v>30</v>
      </c>
      <c r="J13" s="20" t="s">
        <v>20</v>
      </c>
      <c r="K13" s="63" t="s">
        <v>31</v>
      </c>
      <c r="L13" s="22" t="s">
        <v>32</v>
      </c>
      <c r="M13" s="22" t="s">
        <v>33</v>
      </c>
      <c r="N13" s="22" t="s">
        <v>34</v>
      </c>
      <c r="O13" s="22" t="s">
        <v>35</v>
      </c>
    </row>
    <row r="14" s="2" customFormat="1" ht="18" customHeight="1" spans="1:15">
      <c r="A14" s="34">
        <v>43770</v>
      </c>
      <c r="B14" s="35">
        <f t="shared" ref="B14:B27" si="4">ROUND(G14/(1+E14),2)</f>
        <v>41132.08</v>
      </c>
      <c r="C14" s="36"/>
      <c r="D14" s="37" t="s">
        <v>36</v>
      </c>
      <c r="E14" s="38">
        <v>0.06</v>
      </c>
      <c r="F14" s="35">
        <f t="shared" ref="F14:F27" si="5">ROUND(G14/(1+E14)*E14,2)</f>
        <v>2467.92</v>
      </c>
      <c r="G14" s="27">
        <v>43600</v>
      </c>
      <c r="H14" s="23"/>
      <c r="I14" s="12"/>
      <c r="J14" s="62"/>
      <c r="K14" s="64" t="s">
        <v>37</v>
      </c>
      <c r="L14" s="65" t="s">
        <v>38</v>
      </c>
      <c r="M14" s="66"/>
      <c r="N14" s="66"/>
      <c r="O14" s="65"/>
    </row>
    <row r="15" s="2" customFormat="1" ht="18" customHeight="1" spans="1:15">
      <c r="A15" s="34">
        <v>43770</v>
      </c>
      <c r="B15" s="35">
        <f t="shared" si="4"/>
        <v>223300.97</v>
      </c>
      <c r="C15" s="36"/>
      <c r="D15" s="37" t="s">
        <v>36</v>
      </c>
      <c r="E15" s="38">
        <v>0.03</v>
      </c>
      <c r="F15" s="35">
        <f t="shared" si="5"/>
        <v>6699.03</v>
      </c>
      <c r="G15" s="27">
        <f>98800*2+32400</f>
        <v>230000</v>
      </c>
      <c r="H15" s="23">
        <v>43803</v>
      </c>
      <c r="I15" s="12">
        <v>230000</v>
      </c>
      <c r="J15" s="62" t="s">
        <v>21</v>
      </c>
      <c r="K15" s="64" t="s">
        <v>39</v>
      </c>
      <c r="L15" s="65" t="s">
        <v>40</v>
      </c>
      <c r="M15" s="66" t="s">
        <v>41</v>
      </c>
      <c r="N15" s="66" t="s">
        <v>41</v>
      </c>
      <c r="O15" s="65"/>
    </row>
    <row r="16" s="2" customFormat="1" ht="18" customHeight="1" spans="1:15">
      <c r="A16" s="34">
        <v>43770</v>
      </c>
      <c r="B16" s="35">
        <f t="shared" si="4"/>
        <v>1886.79</v>
      </c>
      <c r="C16" s="36"/>
      <c r="D16" s="37" t="s">
        <v>36</v>
      </c>
      <c r="E16" s="38">
        <v>0.06</v>
      </c>
      <c r="F16" s="35">
        <f t="shared" si="5"/>
        <v>113.21</v>
      </c>
      <c r="G16" s="27">
        <f>120+800+120+900+60</f>
        <v>2000</v>
      </c>
      <c r="H16" s="23"/>
      <c r="I16" s="12"/>
      <c r="J16" s="62"/>
      <c r="K16" s="64" t="s">
        <v>42</v>
      </c>
      <c r="L16" s="65" t="s">
        <v>43</v>
      </c>
      <c r="M16" s="66"/>
      <c r="N16" s="66"/>
      <c r="O16" s="65"/>
    </row>
    <row r="17" s="2" customFormat="1" ht="18" customHeight="1" spans="1:15">
      <c r="A17" s="34">
        <v>43770</v>
      </c>
      <c r="B17" s="35">
        <f t="shared" si="4"/>
        <v>4845</v>
      </c>
      <c r="C17" s="36"/>
      <c r="D17" s="37" t="s">
        <v>44</v>
      </c>
      <c r="E17" s="39"/>
      <c r="F17" s="35">
        <f t="shared" si="5"/>
        <v>0</v>
      </c>
      <c r="G17" s="27">
        <f>3500+1345</f>
        <v>4845</v>
      </c>
      <c r="H17" s="23"/>
      <c r="I17" s="12"/>
      <c r="J17" s="62"/>
      <c r="K17" s="64" t="s">
        <v>45</v>
      </c>
      <c r="L17" s="65" t="s">
        <v>46</v>
      </c>
      <c r="M17" s="66"/>
      <c r="N17" s="66"/>
      <c r="O17" s="65"/>
    </row>
    <row r="18" s="2" customFormat="1" ht="18" customHeight="1" spans="1:15">
      <c r="A18" s="34">
        <v>43770</v>
      </c>
      <c r="B18" s="35">
        <f t="shared" si="4"/>
        <v>1970</v>
      </c>
      <c r="C18" s="36"/>
      <c r="D18" s="37" t="s">
        <v>44</v>
      </c>
      <c r="E18" s="39"/>
      <c r="F18" s="35">
        <f t="shared" si="5"/>
        <v>0</v>
      </c>
      <c r="G18" s="27">
        <v>1970</v>
      </c>
      <c r="H18" s="23"/>
      <c r="I18" s="12"/>
      <c r="J18" s="62"/>
      <c r="K18" s="64" t="s">
        <v>47</v>
      </c>
      <c r="L18" s="65" t="s">
        <v>48</v>
      </c>
      <c r="M18" s="66"/>
      <c r="N18" s="66"/>
      <c r="O18" s="65"/>
    </row>
    <row r="19" s="2" customFormat="1" ht="18" customHeight="1" spans="1:15">
      <c r="A19" s="34">
        <v>43770</v>
      </c>
      <c r="B19" s="35">
        <f t="shared" si="4"/>
        <v>489677.88</v>
      </c>
      <c r="C19" s="36"/>
      <c r="D19" s="37" t="s">
        <v>36</v>
      </c>
      <c r="E19" s="38">
        <v>0.13</v>
      </c>
      <c r="F19" s="35">
        <f t="shared" si="5"/>
        <v>63658.12</v>
      </c>
      <c r="G19" s="27">
        <f>108535+110800*3+112401</f>
        <v>553336</v>
      </c>
      <c r="H19" s="23">
        <v>43803</v>
      </c>
      <c r="I19" s="12">
        <v>540000</v>
      </c>
      <c r="J19" s="62" t="s">
        <v>21</v>
      </c>
      <c r="K19" s="64" t="s">
        <v>49</v>
      </c>
      <c r="L19" s="65" t="s">
        <v>50</v>
      </c>
      <c r="M19" s="66" t="s">
        <v>41</v>
      </c>
      <c r="N19" s="66" t="s">
        <v>41</v>
      </c>
      <c r="O19" s="65"/>
    </row>
    <row r="20" s="2" customFormat="1" ht="18" customHeight="1" spans="1:15">
      <c r="A20" s="34"/>
      <c r="B20" s="35">
        <f t="shared" si="4"/>
        <v>0</v>
      </c>
      <c r="C20" s="36"/>
      <c r="D20" s="37"/>
      <c r="E20" s="39"/>
      <c r="F20" s="35">
        <f t="shared" si="5"/>
        <v>0</v>
      </c>
      <c r="G20" s="27"/>
      <c r="H20" s="23">
        <v>43804</v>
      </c>
      <c r="I20" s="12">
        <v>8815</v>
      </c>
      <c r="J20" s="62" t="s">
        <v>51</v>
      </c>
      <c r="K20" s="64" t="s">
        <v>52</v>
      </c>
      <c r="L20" s="65"/>
      <c r="M20" s="66"/>
      <c r="N20" s="66"/>
      <c r="O20" s="65"/>
    </row>
    <row r="21" s="2" customFormat="1" ht="18" customHeight="1" spans="1:15">
      <c r="A21" s="34">
        <v>43800</v>
      </c>
      <c r="B21" s="35">
        <f t="shared" si="4"/>
        <v>85000</v>
      </c>
      <c r="C21" s="36"/>
      <c r="D21" s="37" t="s">
        <v>53</v>
      </c>
      <c r="E21" s="39"/>
      <c r="F21" s="35">
        <f t="shared" si="5"/>
        <v>0</v>
      </c>
      <c r="G21" s="27">
        <v>85000</v>
      </c>
      <c r="H21" s="23"/>
      <c r="I21" s="12"/>
      <c r="J21" s="62"/>
      <c r="K21" s="64" t="s">
        <v>54</v>
      </c>
      <c r="L21" s="65" t="s">
        <v>55</v>
      </c>
      <c r="M21" s="66"/>
      <c r="N21" s="66"/>
      <c r="O21" s="65"/>
    </row>
    <row r="22" s="2" customFormat="1" ht="18" customHeight="1" spans="1:15">
      <c r="A22" s="34">
        <v>43800</v>
      </c>
      <c r="B22" s="35">
        <f t="shared" si="4"/>
        <v>76635</v>
      </c>
      <c r="C22" s="36"/>
      <c r="D22" s="37" t="s">
        <v>53</v>
      </c>
      <c r="E22" s="39"/>
      <c r="F22" s="35">
        <f t="shared" si="5"/>
        <v>0</v>
      </c>
      <c r="G22" s="27">
        <v>76635</v>
      </c>
      <c r="H22" s="23" t="s">
        <v>56</v>
      </c>
      <c r="I22" s="12">
        <v>76635</v>
      </c>
      <c r="J22" s="62" t="s">
        <v>21</v>
      </c>
      <c r="K22" s="64" t="s">
        <v>57</v>
      </c>
      <c r="L22" s="65" t="s">
        <v>55</v>
      </c>
      <c r="M22" s="66"/>
      <c r="N22" s="66"/>
      <c r="O22" s="65"/>
    </row>
    <row r="23" s="2" customFormat="1" ht="18" customHeight="1" spans="1:15">
      <c r="A23" s="34">
        <v>43831</v>
      </c>
      <c r="B23" s="35">
        <f t="shared" si="4"/>
        <v>897673.45</v>
      </c>
      <c r="C23" s="36"/>
      <c r="D23" s="37" t="s">
        <v>36</v>
      </c>
      <c r="E23" s="38">
        <v>0.13</v>
      </c>
      <c r="F23" s="35">
        <f t="shared" si="5"/>
        <v>116697.55</v>
      </c>
      <c r="G23" s="40">
        <f>112420+112274+110800+87927+109830+112860+102860+112392+108938+44070</f>
        <v>1014371</v>
      </c>
      <c r="H23" s="23">
        <v>43852</v>
      </c>
      <c r="I23" s="12">
        <v>300000</v>
      </c>
      <c r="J23" s="62" t="s">
        <v>21</v>
      </c>
      <c r="K23" s="64" t="s">
        <v>49</v>
      </c>
      <c r="L23" s="65" t="s">
        <v>58</v>
      </c>
      <c r="M23" s="66"/>
      <c r="N23" s="66" t="s">
        <v>59</v>
      </c>
      <c r="O23" s="65"/>
    </row>
    <row r="24" s="2" customFormat="1" ht="18" customHeight="1" spans="1:15">
      <c r="A24" s="34">
        <v>43831</v>
      </c>
      <c r="B24" s="35">
        <f t="shared" si="4"/>
        <v>97088.35</v>
      </c>
      <c r="C24" s="36"/>
      <c r="D24" s="37" t="s">
        <v>36</v>
      </c>
      <c r="E24" s="38">
        <v>0.03</v>
      </c>
      <c r="F24" s="35">
        <f t="shared" si="5"/>
        <v>2912.65</v>
      </c>
      <c r="G24" s="40">
        <v>100001</v>
      </c>
      <c r="H24" s="23">
        <v>43852</v>
      </c>
      <c r="I24" s="12">
        <v>100001</v>
      </c>
      <c r="J24" s="62" t="s">
        <v>21</v>
      </c>
      <c r="K24" s="64" t="s">
        <v>60</v>
      </c>
      <c r="L24" s="65" t="s">
        <v>61</v>
      </c>
      <c r="M24" s="66"/>
      <c r="N24" s="66" t="s">
        <v>41</v>
      </c>
      <c r="O24" s="65"/>
    </row>
    <row r="25" s="2" customFormat="1" ht="18" customHeight="1" spans="1:15">
      <c r="A25" s="34">
        <v>43831</v>
      </c>
      <c r="B25" s="35">
        <f t="shared" si="4"/>
        <v>200000</v>
      </c>
      <c r="C25" s="36"/>
      <c r="D25" s="37" t="s">
        <v>44</v>
      </c>
      <c r="E25" s="38"/>
      <c r="F25" s="35">
        <f t="shared" si="5"/>
        <v>0</v>
      </c>
      <c r="G25" s="40">
        <f>100000*2</f>
        <v>200000</v>
      </c>
      <c r="H25" s="23">
        <v>43852</v>
      </c>
      <c r="I25" s="12">
        <v>200000</v>
      </c>
      <c r="J25" s="62" t="s">
        <v>21</v>
      </c>
      <c r="K25" s="64" t="s">
        <v>62</v>
      </c>
      <c r="L25" s="65" t="s">
        <v>63</v>
      </c>
      <c r="M25" s="66"/>
      <c r="N25" s="66"/>
      <c r="O25" s="65"/>
    </row>
    <row r="26" s="2" customFormat="1" ht="18" customHeight="1" spans="1:15">
      <c r="A26" s="34"/>
      <c r="B26" s="35">
        <f t="shared" si="4"/>
        <v>0</v>
      </c>
      <c r="C26" s="36"/>
      <c r="D26" s="37"/>
      <c r="E26" s="38"/>
      <c r="F26" s="35">
        <f t="shared" si="5"/>
        <v>0</v>
      </c>
      <c r="G26" s="40"/>
      <c r="H26" s="23">
        <v>43852</v>
      </c>
      <c r="I26" s="12">
        <v>500000</v>
      </c>
      <c r="J26" s="62" t="s">
        <v>21</v>
      </c>
      <c r="K26" s="64" t="s">
        <v>49</v>
      </c>
      <c r="L26" s="65"/>
      <c r="M26" s="66"/>
      <c r="N26" s="66"/>
      <c r="O26" s="65"/>
    </row>
    <row r="27" s="3" customFormat="1" ht="18" customHeight="1" spans="1:15">
      <c r="A27" s="34">
        <v>44032</v>
      </c>
      <c r="B27" s="35">
        <f t="shared" si="4"/>
        <v>200000</v>
      </c>
      <c r="C27" s="36"/>
      <c r="D27" s="37" t="s">
        <v>44</v>
      </c>
      <c r="E27" s="38"/>
      <c r="F27" s="35">
        <f t="shared" si="5"/>
        <v>0</v>
      </c>
      <c r="G27" s="27">
        <f>100000+100000</f>
        <v>200000</v>
      </c>
      <c r="H27" s="41"/>
      <c r="I27" s="35"/>
      <c r="J27" s="66"/>
      <c r="K27" s="64" t="s">
        <v>62</v>
      </c>
      <c r="L27" s="65" t="s">
        <v>63</v>
      </c>
      <c r="M27" s="67" t="s">
        <v>64</v>
      </c>
      <c r="N27" s="68"/>
      <c r="O27" s="69" t="s">
        <v>65</v>
      </c>
    </row>
    <row r="28" s="3" customFormat="1" ht="18" customHeight="1" spans="1:15">
      <c r="A28" s="34">
        <v>44166</v>
      </c>
      <c r="B28" s="35">
        <v>200500</v>
      </c>
      <c r="C28" s="36">
        <v>1</v>
      </c>
      <c r="D28" s="37" t="s">
        <v>66</v>
      </c>
      <c r="E28" s="38"/>
      <c r="F28" s="35">
        <v>0</v>
      </c>
      <c r="G28" s="27">
        <v>200500</v>
      </c>
      <c r="H28" s="41"/>
      <c r="I28" s="35"/>
      <c r="J28" s="66"/>
      <c r="K28" s="64" t="s">
        <v>67</v>
      </c>
      <c r="L28" s="65" t="s">
        <v>68</v>
      </c>
      <c r="M28" s="67" t="s">
        <v>69</v>
      </c>
      <c r="N28" s="68"/>
      <c r="O28" s="69"/>
    </row>
    <row r="29" s="3" customFormat="1" ht="18" customHeight="1" spans="1:15">
      <c r="A29" s="34"/>
      <c r="B29" s="35"/>
      <c r="C29" s="36"/>
      <c r="D29" s="37"/>
      <c r="E29" s="38"/>
      <c r="F29" s="35"/>
      <c r="G29" s="27"/>
      <c r="H29" s="41"/>
      <c r="I29" s="35"/>
      <c r="J29" s="66"/>
      <c r="K29" s="64"/>
      <c r="L29" s="65"/>
      <c r="M29" s="67"/>
      <c r="N29" s="68"/>
      <c r="O29" s="69"/>
    </row>
    <row r="30" s="3" customFormat="1" ht="18" customHeight="1" spans="1:15">
      <c r="A30" s="34"/>
      <c r="B30" s="35"/>
      <c r="C30" s="36"/>
      <c r="D30" s="37"/>
      <c r="E30" s="38"/>
      <c r="F30" s="35"/>
      <c r="G30" s="27"/>
      <c r="H30" s="41"/>
      <c r="I30" s="35"/>
      <c r="J30" s="66"/>
      <c r="K30" s="64"/>
      <c r="L30" s="65"/>
      <c r="M30" s="67"/>
      <c r="N30" s="68"/>
      <c r="O30" s="69"/>
    </row>
    <row r="31" s="3" customFormat="1" ht="18" customHeight="1" spans="1:15">
      <c r="A31" s="34"/>
      <c r="B31" s="35"/>
      <c r="C31" s="36"/>
      <c r="D31" s="37"/>
      <c r="E31" s="38"/>
      <c r="F31" s="35"/>
      <c r="G31" s="27"/>
      <c r="H31" s="41"/>
      <c r="I31" s="35"/>
      <c r="J31" s="66"/>
      <c r="K31" s="64"/>
      <c r="L31" s="65"/>
      <c r="M31" s="67"/>
      <c r="N31" s="68"/>
      <c r="O31" s="69"/>
    </row>
    <row r="32" s="3" customFormat="1" ht="18" customHeight="1" spans="1:15">
      <c r="A32" s="34"/>
      <c r="B32" s="35"/>
      <c r="C32" s="36"/>
      <c r="D32" s="37"/>
      <c r="E32" s="38"/>
      <c r="F32" s="35"/>
      <c r="G32" s="27"/>
      <c r="H32" s="41"/>
      <c r="I32" s="35"/>
      <c r="J32" s="66"/>
      <c r="K32" s="64"/>
      <c r="L32" s="65"/>
      <c r="M32" s="67"/>
      <c r="N32" s="68"/>
      <c r="O32" s="69"/>
    </row>
    <row r="33" s="3" customFormat="1" ht="18" customHeight="1" spans="1:15">
      <c r="A33" s="34"/>
      <c r="B33" s="35"/>
      <c r="C33" s="36"/>
      <c r="D33" s="37"/>
      <c r="E33" s="38"/>
      <c r="F33" s="35"/>
      <c r="G33" s="27"/>
      <c r="H33" s="41"/>
      <c r="I33" s="35"/>
      <c r="J33" s="66"/>
      <c r="K33" s="64"/>
      <c r="L33" s="65"/>
      <c r="M33" s="67"/>
      <c r="N33" s="68"/>
      <c r="O33" s="69"/>
    </row>
    <row r="34" s="3" customFormat="1" ht="18" customHeight="1" spans="1:15">
      <c r="A34" s="34"/>
      <c r="B34" s="35"/>
      <c r="C34" s="36"/>
      <c r="D34" s="37"/>
      <c r="E34" s="38"/>
      <c r="F34" s="35"/>
      <c r="G34" s="27"/>
      <c r="H34" s="41"/>
      <c r="I34" s="35"/>
      <c r="J34" s="66"/>
      <c r="K34" s="64"/>
      <c r="L34" s="65"/>
      <c r="M34" s="67"/>
      <c r="N34" s="68"/>
      <c r="O34" s="69"/>
    </row>
    <row r="35" s="3" customFormat="1" ht="18" customHeight="1" spans="1:15">
      <c r="A35" s="34"/>
      <c r="B35" s="35"/>
      <c r="C35" s="36"/>
      <c r="D35" s="37"/>
      <c r="E35" s="38"/>
      <c r="F35" s="35"/>
      <c r="G35" s="27"/>
      <c r="H35" s="41"/>
      <c r="I35" s="35"/>
      <c r="J35" s="66"/>
      <c r="K35" s="64"/>
      <c r="L35" s="65"/>
      <c r="M35" s="67"/>
      <c r="N35" s="68"/>
      <c r="O35" s="69"/>
    </row>
    <row r="36" s="3" customFormat="1" ht="18" customHeight="1" spans="1:15">
      <c r="A36" s="34"/>
      <c r="B36" s="35"/>
      <c r="C36" s="36"/>
      <c r="D36" s="37"/>
      <c r="E36" s="38"/>
      <c r="F36" s="35"/>
      <c r="G36" s="27"/>
      <c r="H36" s="41"/>
      <c r="I36" s="35"/>
      <c r="J36" s="66"/>
      <c r="K36" s="64"/>
      <c r="L36" s="65"/>
      <c r="M36" s="67"/>
      <c r="N36" s="68"/>
      <c r="O36" s="69"/>
    </row>
    <row r="37" s="3" customFormat="1" ht="18" customHeight="1" spans="1:15">
      <c r="A37" s="34"/>
      <c r="B37" s="35"/>
      <c r="C37" s="36"/>
      <c r="D37" s="37"/>
      <c r="E37" s="38"/>
      <c r="F37" s="35"/>
      <c r="G37" s="27"/>
      <c r="H37" s="41"/>
      <c r="I37" s="35"/>
      <c r="J37" s="66"/>
      <c r="K37" s="64"/>
      <c r="L37" s="65"/>
      <c r="M37" s="67"/>
      <c r="N37" s="68"/>
      <c r="O37" s="69"/>
    </row>
    <row r="38" s="3" customFormat="1" ht="18" customHeight="1" spans="1:15">
      <c r="A38" s="34"/>
      <c r="B38" s="35"/>
      <c r="C38" s="36"/>
      <c r="D38" s="37"/>
      <c r="E38" s="38"/>
      <c r="F38" s="35"/>
      <c r="G38" s="27"/>
      <c r="H38" s="41"/>
      <c r="I38" s="35"/>
      <c r="J38" s="66"/>
      <c r="K38" s="64"/>
      <c r="L38" s="65"/>
      <c r="M38" s="67"/>
      <c r="N38" s="68"/>
      <c r="O38" s="69"/>
    </row>
    <row r="39" s="3" customFormat="1" ht="18" customHeight="1" spans="1:15">
      <c r="A39" s="42"/>
      <c r="B39" s="35">
        <f t="shared" ref="B39:B52" si="6">ROUND(G39/(1+E39),2)</f>
        <v>0</v>
      </c>
      <c r="C39" s="43"/>
      <c r="D39" s="44"/>
      <c r="E39" s="45"/>
      <c r="F39" s="35">
        <f t="shared" ref="F39:F52" si="7">ROUND(G39/(1+E39)*E39,2)</f>
        <v>0</v>
      </c>
      <c r="G39" s="46"/>
      <c r="H39" s="23">
        <v>44033</v>
      </c>
      <c r="I39" s="35">
        <v>-145528</v>
      </c>
      <c r="J39" s="66" t="s">
        <v>21</v>
      </c>
      <c r="K39" s="64" t="s">
        <v>70</v>
      </c>
      <c r="L39" s="69"/>
      <c r="M39" s="68"/>
      <c r="N39" s="68"/>
      <c r="O39" s="69"/>
    </row>
    <row r="40" s="2" customFormat="1" ht="18" customHeight="1" spans="1:15">
      <c r="A40" s="34"/>
      <c r="B40" s="35">
        <f t="shared" si="6"/>
        <v>0</v>
      </c>
      <c r="C40" s="36"/>
      <c r="D40" s="37"/>
      <c r="E40" s="38"/>
      <c r="F40" s="35">
        <f t="shared" si="7"/>
        <v>0</v>
      </c>
      <c r="G40" s="40"/>
      <c r="H40" s="23">
        <v>44036</v>
      </c>
      <c r="I40" s="35">
        <v>145528</v>
      </c>
      <c r="J40" s="62" t="s">
        <v>51</v>
      </c>
      <c r="K40" s="64" t="s">
        <v>71</v>
      </c>
      <c r="L40" s="65"/>
      <c r="M40" s="66"/>
      <c r="N40" s="66"/>
      <c r="O40" s="65"/>
    </row>
    <row r="41" s="2" customFormat="1" ht="18" customHeight="1" spans="1:15">
      <c r="A41" s="34"/>
      <c r="B41" s="35">
        <f t="shared" si="6"/>
        <v>0</v>
      </c>
      <c r="C41" s="36"/>
      <c r="D41" s="37"/>
      <c r="E41" s="38"/>
      <c r="F41" s="35">
        <f t="shared" si="7"/>
        <v>0</v>
      </c>
      <c r="G41" s="40"/>
      <c r="H41" s="23" t="s">
        <v>72</v>
      </c>
      <c r="I41" s="12">
        <v>100</v>
      </c>
      <c r="J41" s="62" t="s">
        <v>73</v>
      </c>
      <c r="K41" s="64" t="s">
        <v>74</v>
      </c>
      <c r="L41" s="65"/>
      <c r="M41" s="66"/>
      <c r="N41" s="66"/>
      <c r="O41" s="65"/>
    </row>
    <row r="42" s="2" customFormat="1" ht="18" customHeight="1" spans="1:15">
      <c r="A42" s="34"/>
      <c r="B42" s="35">
        <f t="shared" si="6"/>
        <v>0</v>
      </c>
      <c r="C42" s="36"/>
      <c r="D42" s="37"/>
      <c r="E42" s="38"/>
      <c r="F42" s="35">
        <f t="shared" si="7"/>
        <v>0</v>
      </c>
      <c r="G42" s="40"/>
      <c r="H42" s="23" t="s">
        <v>72</v>
      </c>
      <c r="I42" s="12">
        <v>400</v>
      </c>
      <c r="J42" s="62" t="s">
        <v>73</v>
      </c>
      <c r="K42" s="64" t="s">
        <v>74</v>
      </c>
      <c r="L42" s="65"/>
      <c r="M42" s="66"/>
      <c r="N42" s="66"/>
      <c r="O42" s="65"/>
    </row>
    <row r="43" s="2" customFormat="1" ht="18" customHeight="1" spans="1:15">
      <c r="A43" s="34"/>
      <c r="B43" s="35">
        <f t="shared" si="6"/>
        <v>0</v>
      </c>
      <c r="C43" s="36"/>
      <c r="D43" s="37"/>
      <c r="E43" s="38"/>
      <c r="F43" s="35">
        <f t="shared" si="7"/>
        <v>0</v>
      </c>
      <c r="G43" s="40"/>
      <c r="H43" s="23" t="s">
        <v>72</v>
      </c>
      <c r="I43" s="12">
        <v>-10473</v>
      </c>
      <c r="J43" s="62" t="s">
        <v>75</v>
      </c>
      <c r="K43" s="64" t="s">
        <v>76</v>
      </c>
      <c r="L43" s="65"/>
      <c r="M43" s="66"/>
      <c r="N43" s="66"/>
      <c r="O43" s="65"/>
    </row>
    <row r="44" s="2" customFormat="1" ht="18" customHeight="1" spans="1:15">
      <c r="A44" s="34"/>
      <c r="B44" s="35">
        <f t="shared" si="6"/>
        <v>0</v>
      </c>
      <c r="C44" s="36"/>
      <c r="D44" s="37"/>
      <c r="E44" s="38"/>
      <c r="F44" s="35">
        <f t="shared" si="7"/>
        <v>0</v>
      </c>
      <c r="G44" s="40"/>
      <c r="H44" s="23" t="s">
        <v>72</v>
      </c>
      <c r="I44" s="70">
        <v>14700</v>
      </c>
      <c r="J44" s="62" t="s">
        <v>73</v>
      </c>
      <c r="K44" s="64" t="s">
        <v>77</v>
      </c>
      <c r="L44" s="65"/>
      <c r="M44" s="66"/>
      <c r="N44" s="66"/>
      <c r="O44" s="65"/>
    </row>
    <row r="45" s="2" customFormat="1" ht="18" customHeight="1" spans="1:15">
      <c r="A45" s="34"/>
      <c r="B45" s="35">
        <f t="shared" si="6"/>
        <v>0</v>
      </c>
      <c r="C45" s="36"/>
      <c r="D45" s="37"/>
      <c r="E45" s="39"/>
      <c r="F45" s="35">
        <f t="shared" si="7"/>
        <v>0</v>
      </c>
      <c r="G45" s="27"/>
      <c r="H45" s="23" t="s">
        <v>78</v>
      </c>
      <c r="I45" s="70">
        <v>809</v>
      </c>
      <c r="J45" s="62" t="s">
        <v>73</v>
      </c>
      <c r="K45" s="64" t="s">
        <v>79</v>
      </c>
      <c r="L45" s="65"/>
      <c r="M45" s="66"/>
      <c r="N45" s="66"/>
      <c r="O45" s="65"/>
    </row>
    <row r="46" s="2" customFormat="1" ht="18" customHeight="1" spans="1:15">
      <c r="A46" s="34"/>
      <c r="B46" s="35">
        <f t="shared" si="6"/>
        <v>0</v>
      </c>
      <c r="C46" s="36"/>
      <c r="D46" s="37"/>
      <c r="E46" s="39"/>
      <c r="F46" s="35">
        <f t="shared" si="7"/>
        <v>0</v>
      </c>
      <c r="G46" s="27"/>
      <c r="H46" s="23" t="s">
        <v>72</v>
      </c>
      <c r="I46" s="12">
        <v>300</v>
      </c>
      <c r="J46" s="62" t="s">
        <v>73</v>
      </c>
      <c r="K46" s="64" t="s">
        <v>74</v>
      </c>
      <c r="L46" s="65"/>
      <c r="M46" s="66"/>
      <c r="N46" s="66"/>
      <c r="O46" s="65"/>
    </row>
    <row r="47" s="2" customFormat="1" ht="18" customHeight="1" spans="1:15">
      <c r="A47" s="34"/>
      <c r="B47" s="35">
        <f t="shared" si="6"/>
        <v>0</v>
      </c>
      <c r="C47" s="36"/>
      <c r="D47" s="37"/>
      <c r="E47" s="39"/>
      <c r="F47" s="35">
        <f t="shared" si="7"/>
        <v>0</v>
      </c>
      <c r="G47" s="27"/>
      <c r="H47" s="23" t="s">
        <v>72</v>
      </c>
      <c r="I47" s="12">
        <v>10473</v>
      </c>
      <c r="J47" s="62" t="s">
        <v>80</v>
      </c>
      <c r="K47" s="64" t="s">
        <v>81</v>
      </c>
      <c r="L47" s="65"/>
      <c r="M47" s="66"/>
      <c r="N47" s="66"/>
      <c r="O47" s="65"/>
    </row>
    <row r="48" s="2" customFormat="1" ht="18" customHeight="1" spans="1:15">
      <c r="A48" s="34"/>
      <c r="B48" s="35">
        <f t="shared" si="6"/>
        <v>0</v>
      </c>
      <c r="C48" s="36"/>
      <c r="D48" s="37"/>
      <c r="E48" s="39"/>
      <c r="F48" s="35">
        <f t="shared" si="7"/>
        <v>0</v>
      </c>
      <c r="G48" s="27"/>
      <c r="H48" s="23" t="s">
        <v>72</v>
      </c>
      <c r="I48" s="70">
        <v>8717</v>
      </c>
      <c r="J48" s="62" t="s">
        <v>73</v>
      </c>
      <c r="K48" s="64" t="s">
        <v>77</v>
      </c>
      <c r="L48" s="65"/>
      <c r="M48" s="66"/>
      <c r="N48" s="66"/>
      <c r="O48" s="65"/>
    </row>
    <row r="49" s="2" customFormat="1" ht="18" customHeight="1" spans="1:15">
      <c r="A49" s="34"/>
      <c r="B49" s="35">
        <f t="shared" si="6"/>
        <v>0</v>
      </c>
      <c r="C49" s="36"/>
      <c r="D49" s="37"/>
      <c r="E49" s="39"/>
      <c r="F49" s="35">
        <f t="shared" si="7"/>
        <v>0</v>
      </c>
      <c r="G49" s="27"/>
      <c r="H49" s="23" t="s">
        <v>72</v>
      </c>
      <c r="I49" s="70">
        <v>808</v>
      </c>
      <c r="J49" s="62" t="s">
        <v>73</v>
      </c>
      <c r="K49" s="64" t="s">
        <v>82</v>
      </c>
      <c r="L49" s="65"/>
      <c r="M49" s="66"/>
      <c r="N49" s="66"/>
      <c r="O49" s="65"/>
    </row>
    <row r="50" s="2" customFormat="1" ht="18" customHeight="1" spans="1:15">
      <c r="A50" s="34"/>
      <c r="B50" s="35">
        <f t="shared" si="6"/>
        <v>58211</v>
      </c>
      <c r="C50" s="36"/>
      <c r="D50" s="37"/>
      <c r="E50" s="39"/>
      <c r="F50" s="35">
        <f t="shared" si="7"/>
        <v>0</v>
      </c>
      <c r="G50" s="27">
        <v>58211</v>
      </c>
      <c r="H50" s="23" t="s">
        <v>72</v>
      </c>
      <c r="I50" s="12">
        <f>G50</f>
        <v>58211</v>
      </c>
      <c r="J50" s="62" t="s">
        <v>73</v>
      </c>
      <c r="K50" s="64" t="s">
        <v>83</v>
      </c>
      <c r="L50" s="65" t="s">
        <v>84</v>
      </c>
      <c r="M50" s="66"/>
      <c r="N50" s="66"/>
      <c r="O50" s="65"/>
    </row>
    <row r="51" s="2" customFormat="1" ht="18" customHeight="1" spans="1:15">
      <c r="A51" s="34"/>
      <c r="B51" s="35">
        <f t="shared" si="6"/>
        <v>0</v>
      </c>
      <c r="C51" s="36"/>
      <c r="D51" s="37"/>
      <c r="E51" s="39"/>
      <c r="F51" s="35">
        <f t="shared" si="7"/>
        <v>0</v>
      </c>
      <c r="G51" s="27"/>
      <c r="H51" s="23" t="s">
        <v>72</v>
      </c>
      <c r="I51" s="12">
        <v>500</v>
      </c>
      <c r="J51" s="62" t="s">
        <v>73</v>
      </c>
      <c r="K51" s="64" t="s">
        <v>85</v>
      </c>
      <c r="L51" s="65"/>
      <c r="M51" s="66"/>
      <c r="N51" s="66"/>
      <c r="O51" s="65"/>
    </row>
    <row r="52" s="2" customFormat="1" ht="18" customHeight="1" spans="1:15">
      <c r="A52" s="34"/>
      <c r="B52" s="35">
        <f t="shared" si="6"/>
        <v>0</v>
      </c>
      <c r="C52" s="36"/>
      <c r="D52" s="37"/>
      <c r="E52" s="39"/>
      <c r="F52" s="35">
        <f t="shared" si="7"/>
        <v>0</v>
      </c>
      <c r="G52" s="27"/>
      <c r="H52" s="47"/>
      <c r="I52" s="71"/>
      <c r="J52" s="72"/>
      <c r="K52" s="73"/>
      <c r="L52" s="65"/>
      <c r="M52" s="66"/>
      <c r="N52" s="66"/>
      <c r="O52" s="65"/>
    </row>
    <row r="53" s="1" customFormat="1" ht="18" customHeight="1" spans="1:15">
      <c r="A53" s="30" t="s">
        <v>22</v>
      </c>
      <c r="B53" s="29">
        <f t="shared" ref="B53:G53" si="8">SUM(B14:B52)</f>
        <v>2577920.52</v>
      </c>
      <c r="C53" s="30"/>
      <c r="D53" s="48"/>
      <c r="E53" s="48"/>
      <c r="F53" s="31">
        <f t="shared" si="8"/>
        <v>192548.48</v>
      </c>
      <c r="G53" s="49">
        <f t="shared" si="8"/>
        <v>2770469</v>
      </c>
      <c r="H53" s="50"/>
      <c r="I53" s="30">
        <f>SUM(I14:I52)</f>
        <v>2039996</v>
      </c>
      <c r="J53" s="74"/>
      <c r="K53" s="48"/>
      <c r="L53" s="32"/>
      <c r="M53" s="62"/>
      <c r="N53" s="62"/>
      <c r="O53" s="32"/>
    </row>
    <row r="54" s="1" customFormat="1" ht="18" customHeight="1" spans="1:14">
      <c r="A54" s="51" t="s">
        <v>86</v>
      </c>
      <c r="B54" s="51">
        <f>B11*0.96</f>
        <v>2131133.06422018</v>
      </c>
      <c r="C54" s="51"/>
      <c r="D54" s="52"/>
      <c r="E54" s="52"/>
      <c r="F54" s="51"/>
      <c r="G54" s="51">
        <f>G11-G53</f>
        <v>-350745</v>
      </c>
      <c r="H54" s="22" t="s">
        <v>87</v>
      </c>
      <c r="I54" s="30">
        <f>I11-I53</f>
        <v>10080</v>
      </c>
      <c r="K54" s="75"/>
      <c r="L54" s="1"/>
      <c r="M54" s="76"/>
      <c r="N54" s="76"/>
    </row>
    <row r="55" s="1" customFormat="1" ht="18" customHeight="1" spans="1:14">
      <c r="A55" s="51" t="s">
        <v>88</v>
      </c>
      <c r="B55" s="51">
        <f>B54-B53</f>
        <v>-446787.455779817</v>
      </c>
      <c r="C55" s="51"/>
      <c r="D55" s="52"/>
      <c r="E55" s="52"/>
      <c r="F55" s="53"/>
      <c r="G55" s="53"/>
      <c r="H55" s="54"/>
      <c r="I55" s="51"/>
      <c r="J55" s="1"/>
      <c r="K55" s="75"/>
      <c r="L55" s="1"/>
      <c r="M55" s="76"/>
      <c r="N55" s="76"/>
    </row>
    <row r="56" s="1" customFormat="1" ht="18" customHeight="1" spans="1:10">
      <c r="A56" s="4" t="s">
        <v>89</v>
      </c>
      <c r="B56" s="5"/>
      <c r="C56" s="4"/>
      <c r="D56" s="6"/>
      <c r="E56" s="6"/>
      <c r="F56" s="5"/>
      <c r="G56" s="5"/>
      <c r="H56" s="6"/>
      <c r="I56" s="5"/>
      <c r="J56" s="7"/>
    </row>
    <row r="57" s="1" customFormat="1" ht="18" customHeight="1" spans="1:10">
      <c r="A57" s="22" t="s">
        <v>90</v>
      </c>
      <c r="B57" s="21" t="s">
        <v>91</v>
      </c>
      <c r="C57" s="32"/>
      <c r="D57" s="22" t="s">
        <v>90</v>
      </c>
      <c r="E57" s="20" t="s">
        <v>16</v>
      </c>
      <c r="F57" s="21" t="s">
        <v>91</v>
      </c>
      <c r="G57" s="21" t="s">
        <v>92</v>
      </c>
      <c r="H57" s="21" t="s">
        <v>93</v>
      </c>
      <c r="I57" s="5"/>
      <c r="J57" s="7"/>
    </row>
    <row r="58" s="1" customFormat="1" ht="18" customHeight="1" spans="1:10">
      <c r="A58" s="32" t="s">
        <v>94</v>
      </c>
      <c r="B58" s="35">
        <f>(B54-B53)*0.25</f>
        <v>-111696.863944954</v>
      </c>
      <c r="C58" s="32"/>
      <c r="D58" s="28" t="s">
        <v>95</v>
      </c>
      <c r="E58" s="22" t="s">
        <v>96</v>
      </c>
      <c r="F58" s="31">
        <f>F11-F53</f>
        <v>-37153.360733945</v>
      </c>
      <c r="G58" s="31">
        <v>0</v>
      </c>
      <c r="H58" s="31">
        <v>0</v>
      </c>
      <c r="I58" s="5"/>
      <c r="J58" s="7"/>
    </row>
    <row r="59" s="1" customFormat="1" ht="18" customHeight="1" spans="1:10">
      <c r="A59" s="32" t="s">
        <v>97</v>
      </c>
      <c r="B59" s="55" t="s">
        <v>98</v>
      </c>
      <c r="C59" s="32"/>
      <c r="D59" s="56" t="s">
        <v>99</v>
      </c>
      <c r="E59" s="14">
        <v>0.07</v>
      </c>
      <c r="F59" s="12">
        <f>F58*E59</f>
        <v>-2600.73525137615</v>
      </c>
      <c r="G59" s="12">
        <v>0</v>
      </c>
      <c r="H59" s="12">
        <v>0</v>
      </c>
      <c r="I59" s="5"/>
      <c r="J59" s="7"/>
    </row>
    <row r="60" s="1" customFormat="1" ht="18" customHeight="1" spans="1:10">
      <c r="A60" s="32" t="s">
        <v>100</v>
      </c>
      <c r="B60" s="55"/>
      <c r="C60" s="32"/>
      <c r="D60" s="56" t="s">
        <v>101</v>
      </c>
      <c r="E60" s="14">
        <v>0.03</v>
      </c>
      <c r="F60" s="12">
        <f>F58*E60</f>
        <v>-1114.60082201835</v>
      </c>
      <c r="G60" s="12">
        <v>0</v>
      </c>
      <c r="H60" s="12">
        <v>0</v>
      </c>
      <c r="I60" s="5"/>
      <c r="J60" s="7"/>
    </row>
    <row r="61" s="1" customFormat="1" ht="18" customHeight="1" spans="1:10">
      <c r="A61" s="32"/>
      <c r="B61" s="57"/>
      <c r="C61" s="32"/>
      <c r="D61" s="56" t="s">
        <v>102</v>
      </c>
      <c r="E61" s="14">
        <v>0.02</v>
      </c>
      <c r="F61" s="12">
        <f>F58*E61</f>
        <v>-743.067214678899</v>
      </c>
      <c r="G61" s="12">
        <v>0</v>
      </c>
      <c r="H61" s="12">
        <v>0</v>
      </c>
      <c r="I61" s="5"/>
      <c r="J61" s="7"/>
    </row>
    <row r="62" s="1" customFormat="1" ht="18" customHeight="1" spans="1:10">
      <c r="A62" s="28" t="s">
        <v>103</v>
      </c>
      <c r="B62" s="29">
        <f>SUM(B58:B61)</f>
        <v>-111696.863944954</v>
      </c>
      <c r="C62" s="32"/>
      <c r="D62" s="33" t="s">
        <v>103</v>
      </c>
      <c r="E62" s="28"/>
      <c r="F62" s="31">
        <f>SUM(F58:F61)</f>
        <v>-41611.7640220183</v>
      </c>
      <c r="G62" s="31">
        <v>0</v>
      </c>
      <c r="H62" s="31">
        <v>0</v>
      </c>
      <c r="I62" s="5"/>
      <c r="J62" s="7"/>
    </row>
    <row r="63" s="1" customFormat="1" ht="18" customHeight="1" spans="1:10">
      <c r="A63" s="4"/>
      <c r="B63" s="5"/>
      <c r="C63" s="4"/>
      <c r="D63" s="12" t="s">
        <v>97</v>
      </c>
      <c r="E63" s="58">
        <v>0.0003</v>
      </c>
      <c r="F63" s="12">
        <f>G11*E63</f>
        <v>725.9172</v>
      </c>
      <c r="G63" s="12">
        <f>G7*E63</f>
        <v>285.0228</v>
      </c>
      <c r="H63" s="12">
        <v>0</v>
      </c>
      <c r="I63" s="5">
        <f>F63-G63</f>
        <v>440.8944</v>
      </c>
      <c r="J63" s="7"/>
    </row>
    <row r="64" s="1" customFormat="1" ht="18" customHeight="1" spans="1:10">
      <c r="A64" s="4"/>
      <c r="B64" s="5"/>
      <c r="C64" s="4"/>
      <c r="D64" s="12" t="s">
        <v>100</v>
      </c>
      <c r="E64" s="58">
        <v>0.0006</v>
      </c>
      <c r="F64" s="12">
        <f>B11*E64</f>
        <v>1331.95816513761</v>
      </c>
      <c r="G64" s="12">
        <f>B7*E64</f>
        <v>522.977614678899</v>
      </c>
      <c r="H64" s="12">
        <f>B8*E64</f>
        <v>808.980550458715</v>
      </c>
      <c r="I64" s="5"/>
      <c r="J64" s="7"/>
    </row>
    <row r="65" s="1" customFormat="1" ht="18" customHeight="1" spans="1:10">
      <c r="A65" s="4"/>
      <c r="B65" s="5"/>
      <c r="C65" s="4"/>
      <c r="D65" s="20" t="s">
        <v>103</v>
      </c>
      <c r="E65" s="48"/>
      <c r="F65" s="30">
        <f>F64+F63</f>
        <v>2057.87536513761</v>
      </c>
      <c r="G65" s="30">
        <f>G63+G64</f>
        <v>808.000414678899</v>
      </c>
      <c r="H65" s="30">
        <f>H63+H64</f>
        <v>808.980550458715</v>
      </c>
      <c r="I65" s="5"/>
      <c r="J65" s="7"/>
    </row>
    <row r="66" s="1" customFormat="1" ht="18" customHeight="1" spans="1:10">
      <c r="A66" s="4"/>
      <c r="B66" s="5"/>
      <c r="C66" s="4"/>
      <c r="D66" s="20" t="s">
        <v>22</v>
      </c>
      <c r="E66" s="30"/>
      <c r="F66" s="30">
        <f t="shared" ref="F66:H66" si="9">F62+F65</f>
        <v>-39553.8886568807</v>
      </c>
      <c r="G66" s="30">
        <f t="shared" si="9"/>
        <v>808.000414678899</v>
      </c>
      <c r="H66" s="30">
        <f t="shared" si="9"/>
        <v>808.980550458715</v>
      </c>
      <c r="I66" s="5"/>
      <c r="J66" s="7"/>
    </row>
    <row r="67" s="1" customFormat="1" ht="18" customHeight="1" spans="1:10">
      <c r="A67" s="4"/>
      <c r="B67" s="5"/>
      <c r="C67" s="4"/>
      <c r="D67" s="30" t="s">
        <v>94</v>
      </c>
      <c r="E67" s="48">
        <v>0.01</v>
      </c>
      <c r="F67" s="30">
        <f>B7*E67+G8*E67</f>
        <v>23412.7735779817</v>
      </c>
      <c r="G67" s="30">
        <f>B7*E67</f>
        <v>8716.29357798165</v>
      </c>
      <c r="H67" s="30">
        <f>G8*E67</f>
        <v>14696.48</v>
      </c>
      <c r="I67" s="5"/>
      <c r="J67" s="7"/>
    </row>
    <row r="68" s="1" customFormat="1" spans="1:10">
      <c r="A68" s="4"/>
      <c r="B68" s="5"/>
      <c r="C68" s="4"/>
      <c r="D68" s="6"/>
      <c r="E68" s="6"/>
      <c r="F68" s="5"/>
      <c r="G68" s="5"/>
      <c r="H68" s="6"/>
      <c r="I68" s="5"/>
      <c r="J68" s="7"/>
    </row>
    <row r="69" s="1" customFormat="1" spans="1:10">
      <c r="A69" s="4"/>
      <c r="B69" s="5"/>
      <c r="C69" s="4"/>
      <c r="D69" s="6"/>
      <c r="E69" s="6"/>
      <c r="F69" s="5"/>
      <c r="G69" s="5"/>
      <c r="H69" s="6"/>
      <c r="I69" s="5"/>
      <c r="J69" s="7"/>
    </row>
    <row r="70" s="1" customFormat="1" spans="1:10">
      <c r="A70" s="4"/>
      <c r="B70" s="5"/>
      <c r="C70" s="4"/>
      <c r="D70" s="6"/>
      <c r="E70" s="6"/>
      <c r="F70" s="5"/>
      <c r="G70" s="5"/>
      <c r="H70" s="6"/>
      <c r="I70" s="5"/>
      <c r="J70" s="7"/>
    </row>
    <row r="71" s="1" customFormat="1" spans="1:10">
      <c r="A71" s="4"/>
      <c r="B71" s="5"/>
      <c r="C71" s="4"/>
      <c r="D71" s="6"/>
      <c r="E71" s="6"/>
      <c r="F71" s="5"/>
      <c r="G71" s="5"/>
      <c r="H71" s="6"/>
      <c r="I71" s="5"/>
      <c r="J71" s="7"/>
    </row>
    <row r="72" s="1" customFormat="1" spans="1:10">
      <c r="A72" s="4"/>
      <c r="B72" s="5"/>
      <c r="C72" s="4"/>
      <c r="D72" s="6"/>
      <c r="E72" s="6"/>
      <c r="F72" s="5"/>
      <c r="G72" s="5"/>
      <c r="H72" s="6"/>
      <c r="I72" s="5"/>
      <c r="J72" s="7"/>
    </row>
    <row r="73" s="1" customFormat="1" spans="1:10">
      <c r="A73" s="4"/>
      <c r="B73" s="5"/>
      <c r="C73" s="4"/>
      <c r="D73" s="6"/>
      <c r="E73" s="6"/>
      <c r="F73" s="5"/>
      <c r="G73" s="5"/>
      <c r="H73" s="6"/>
      <c r="I73" s="5"/>
      <c r="J73" s="7"/>
    </row>
    <row r="74" s="1" customFormat="1" spans="1:10">
      <c r="A74" s="4"/>
      <c r="B74" s="5"/>
      <c r="C74" s="4"/>
      <c r="D74" s="6"/>
      <c r="E74" s="6"/>
      <c r="F74" s="5"/>
      <c r="G74" s="5"/>
      <c r="H74" s="6"/>
      <c r="I74" s="5"/>
      <c r="J74" s="7"/>
    </row>
    <row r="75" s="1" customFormat="1" spans="1:10">
      <c r="A75" s="4"/>
      <c r="B75" s="5"/>
      <c r="C75" s="4"/>
      <c r="D75" s="6"/>
      <c r="E75" s="6"/>
      <c r="F75" s="5"/>
      <c r="G75" s="5"/>
      <c r="H75" s="6"/>
      <c r="I75" s="5"/>
      <c r="J75" s="7"/>
    </row>
    <row r="76" s="1" customFormat="1" spans="1:10">
      <c r="A76" s="4"/>
      <c r="B76" s="5"/>
      <c r="C76" s="4"/>
      <c r="D76" s="6"/>
      <c r="E76" s="6"/>
      <c r="F76" s="5"/>
      <c r="G76" s="5"/>
      <c r="H76" s="6"/>
      <c r="I76" s="5"/>
      <c r="J76" s="7"/>
    </row>
    <row r="77" s="1" customFormat="1" spans="1:10">
      <c r="A77" s="4"/>
      <c r="B77" s="5"/>
      <c r="C77" s="4"/>
      <c r="D77" s="6"/>
      <c r="E77" s="6"/>
      <c r="F77" s="5"/>
      <c r="G77" s="5"/>
      <c r="H77" s="6"/>
      <c r="I77" s="5"/>
      <c r="J77" s="7"/>
    </row>
    <row r="78" s="1" customFormat="1" spans="1:10">
      <c r="A78" s="4"/>
      <c r="B78" s="5"/>
      <c r="C78" s="4"/>
      <c r="D78" s="6"/>
      <c r="E78" s="6"/>
      <c r="F78" s="5"/>
      <c r="G78" s="5"/>
      <c r="H78" s="6"/>
      <c r="I78" s="5"/>
      <c r="J78" s="7"/>
    </row>
    <row r="79" s="1" customFormat="1" spans="1:10">
      <c r="A79" s="4"/>
      <c r="B79" s="5"/>
      <c r="C79" s="4"/>
      <c r="D79" s="6"/>
      <c r="E79" s="6"/>
      <c r="F79" s="5"/>
      <c r="G79" s="5"/>
      <c r="H79" s="6"/>
      <c r="I79" s="5"/>
      <c r="J79" s="7"/>
    </row>
    <row r="80" s="1" customFormat="1" spans="1:10">
      <c r="A80" s="4"/>
      <c r="B80" s="5"/>
      <c r="C80" s="4"/>
      <c r="D80" s="6"/>
      <c r="E80" s="6"/>
      <c r="F80" s="5"/>
      <c r="G80" s="5"/>
      <c r="H80" s="6"/>
      <c r="I80" s="5"/>
      <c r="J80" s="7"/>
    </row>
  </sheetData>
  <autoFilter ref="A13:O2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旧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2021-06-15T08:40:21Z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D99BD1E7AAAF4DACBAF211F21EE7A21A</vt:lpwstr>
  </property>
</Properties>
</file>