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3" r:id="rId1"/>
    <sheet name="旧" sheetId="1" r:id="rId2"/>
    <sheet name="Sheet2" sheetId="2" r:id="rId3"/>
  </sheets>
  <definedNames>
    <definedName name="_xlnm._FilterDatabase" localSheetId="0" hidden="1">新!$A$16:$O$89</definedName>
  </definedNames>
  <calcPr calcId="144525" concurrentCalc="0"/>
</workbook>
</file>

<file path=xl/comments1.xml><?xml version="1.0" encoding="utf-8"?>
<comments xmlns="http://schemas.openxmlformats.org/spreadsheetml/2006/main">
  <authors>
    <author>cw01</author>
    <author>cw05</author>
    <author>cw09</author>
    <author>qyr</author>
  </authors>
  <commentList>
    <comment ref="K58" authorId="0">
      <text>
        <r>
          <rPr>
            <sz val="9"/>
            <rFont val="宋体"/>
            <charset val="134"/>
          </rPr>
          <t xml:space="preserve">cw01:
吴总同意 由于税盘更新 9月份进项票 所属期归于8月份
</t>
        </r>
      </text>
    </comment>
    <comment ref="K59" authorId="0">
      <text>
        <r>
          <rPr>
            <sz val="9"/>
            <rFont val="宋体"/>
            <charset val="134"/>
          </rPr>
          <t>cw01:
完税证明原件尚未提供</t>
        </r>
      </text>
    </comment>
    <comment ref="A73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76" authorId="2">
      <text>
        <r>
          <rPr>
            <sz val="9"/>
            <rFont val="宋体"/>
            <charset val="134"/>
          </rPr>
          <t>cw09:
已收税金 .34469.69元  20.20.1.19 王光如</t>
        </r>
      </text>
    </comment>
    <comment ref="O76" authorId="3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2020.7.8转王光如徽行税金13987.16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  <author>cw09</author>
  </authors>
  <commentList>
    <comment ref="K36" authorId="0">
      <text>
        <r>
          <rPr>
            <sz val="9"/>
            <rFont val="宋体"/>
            <charset val="134"/>
          </rPr>
          <t xml:space="preserve">cw01:
吴总同意 由于税盘更新 9月份进项票 所属期归于8月份
</t>
        </r>
      </text>
    </comment>
    <comment ref="K37" authorId="0">
      <text>
        <r>
          <rPr>
            <sz val="9"/>
            <rFont val="宋体"/>
            <charset val="134"/>
          </rPr>
          <t>cw01:
完税证明原件尚未提供</t>
        </r>
      </text>
    </comment>
    <comment ref="A53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56" authorId="2">
      <text>
        <r>
          <rPr>
            <sz val="9"/>
            <rFont val="宋体"/>
            <charset val="134"/>
          </rPr>
          <t>cw09:
已收税金 .34469.69元  20.20.1.19 王光如</t>
        </r>
      </text>
    </comment>
  </commentList>
</comments>
</file>

<file path=xl/sharedStrings.xml><?xml version="1.0" encoding="utf-8"?>
<sst xmlns="http://schemas.openxmlformats.org/spreadsheetml/2006/main" count="453" uniqueCount="127">
  <si>
    <t>C11062  无为县赫店镇2019年(四好农村路)扩面延伸工程4标段(黄墩村,汪邵村)</t>
  </si>
  <si>
    <t>中标日期</t>
  </si>
  <si>
    <t>中标价</t>
  </si>
  <si>
    <t>负责人</t>
  </si>
  <si>
    <t>王冬汉</t>
  </si>
  <si>
    <t>建设单位</t>
  </si>
  <si>
    <t>无为县赫店镇人民政府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</si>
  <si>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</si>
  <si>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</si>
  <si>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</si>
  <si>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</si>
  <si>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</si>
  <si>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</si>
  <si>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</si>
  <si>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</si>
  <si>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</si>
  <si>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</si>
  <si>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</si>
  <si>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</si>
  <si>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</si>
  <si>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</si>
  <si>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</si>
  <si>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</si>
  <si>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</si>
  <si>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</si>
  <si>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</si>
  <si>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</si>
  <si>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</si>
  <si>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</si>
  <si>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</si>
  <si>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</si>
  <si>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</si>
  <si>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</si>
  <si>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</si>
  <si>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</si>
  <si>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</si>
  <si>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</si>
  <si>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</si>
  <si>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芜湖金铸水泥有限公司</t>
  </si>
  <si>
    <t>水泥810.39吨</t>
  </si>
  <si>
    <t>安徽省巢湖恒信水泥有限公司</t>
  </si>
  <si>
    <t>水泥750吨</t>
  </si>
  <si>
    <t>普代</t>
  </si>
  <si>
    <t>徽行</t>
  </si>
  <si>
    <t>吴俊凤</t>
  </si>
  <si>
    <t>机械施工费</t>
  </si>
  <si>
    <t>朱玉山</t>
  </si>
  <si>
    <t>章丽</t>
  </si>
  <si>
    <t>钱桂珍</t>
  </si>
  <si>
    <t>繁昌县银桥物资商贸有限公司</t>
  </si>
  <si>
    <t>水泥1125吨</t>
  </si>
  <si>
    <t>万李华</t>
  </si>
  <si>
    <t>黄沙</t>
  </si>
  <si>
    <t>芜湖市羊山建筑工程有限公司</t>
  </si>
  <si>
    <t>劳务费</t>
  </si>
  <si>
    <t>有</t>
  </si>
  <si>
    <t>1份</t>
  </si>
  <si>
    <t>钱杨林</t>
  </si>
  <si>
    <t>石子、黄沙</t>
  </si>
  <si>
    <t>合同价40万</t>
  </si>
  <si>
    <t>倪进全</t>
  </si>
  <si>
    <t>石子3200吨</t>
  </si>
  <si>
    <t>赵小锐</t>
  </si>
  <si>
    <t>吴维荣</t>
  </si>
  <si>
    <t>水泥892吨</t>
  </si>
  <si>
    <t>合同价37460</t>
  </si>
  <si>
    <t>骆稳</t>
  </si>
  <si>
    <t>黄沙1385.8吨、水泥490吨</t>
  </si>
  <si>
    <t>石子款</t>
  </si>
  <si>
    <t>黄沙、水泥</t>
  </si>
  <si>
    <t>水泥</t>
  </si>
  <si>
    <t>7次</t>
  </si>
  <si>
    <t>扣</t>
  </si>
  <si>
    <t>手续费</t>
  </si>
  <si>
    <r>
      <rPr>
        <sz val="9"/>
        <rFont val="宋体"/>
        <charset val="134"/>
      </rPr>
      <t>企税1</t>
    </r>
    <r>
      <rPr>
        <sz val="9"/>
        <rFont val="宋体"/>
        <charset val="134"/>
      </rPr>
      <t>%</t>
    </r>
  </si>
  <si>
    <t>增值税及附加（总算）</t>
  </si>
  <si>
    <t>全部管理费</t>
  </si>
  <si>
    <t>收</t>
  </si>
  <si>
    <t>7月份开票税金，2020.7.8转王光如徽行卡</t>
  </si>
  <si>
    <t>7月份开票税金</t>
  </si>
  <si>
    <t>6次</t>
  </si>
  <si>
    <t>退</t>
  </si>
  <si>
    <t>暂扣</t>
  </si>
  <si>
    <t>管理费</t>
  </si>
  <si>
    <t>5次</t>
  </si>
  <si>
    <t>4次</t>
  </si>
  <si>
    <t>之前暂扣企税</t>
  </si>
  <si>
    <t>3次</t>
  </si>
  <si>
    <t>企税（成本不够）</t>
  </si>
  <si>
    <t>代办费</t>
  </si>
  <si>
    <t>2次</t>
  </si>
  <si>
    <t>增值税及附加</t>
  </si>
  <si>
    <t>异地未预缴税费</t>
  </si>
  <si>
    <t>企税（之前暂扣）</t>
  </si>
  <si>
    <t>1次</t>
  </si>
  <si>
    <t>应提供成本</t>
  </si>
  <si>
    <t>可支付金额</t>
  </si>
  <si>
    <t>尚需提供成本</t>
  </si>
  <si>
    <t xml:space="preserve"> </t>
  </si>
  <si>
    <t>公司代缴税金：</t>
  </si>
  <si>
    <t>税种</t>
  </si>
  <si>
    <t>税额</t>
  </si>
  <si>
    <t>19.8月份开票应缴纳税款（第一次）</t>
  </si>
  <si>
    <t>19.8月第二次开票扣税</t>
  </si>
  <si>
    <t>19.10开票扣税</t>
  </si>
  <si>
    <t xml:space="preserve">20.1月开票预缴税金 </t>
  </si>
  <si>
    <t>21.1月开票扣税</t>
  </si>
  <si>
    <t>2020年7月开票扣税</t>
  </si>
  <si>
    <t>2021年2月开票税金</t>
  </si>
  <si>
    <t>企业所得税</t>
  </si>
  <si>
    <t>增值税</t>
  </si>
  <si>
    <t>差额</t>
  </si>
  <si>
    <t>印花税</t>
  </si>
  <si>
    <t>已缴</t>
  </si>
  <si>
    <t>城市维护建设税</t>
  </si>
  <si>
    <t>水利基金</t>
  </si>
  <si>
    <t>教育费附加</t>
  </si>
  <si>
    <t>地方教育费附加</t>
  </si>
  <si>
    <t>小计</t>
  </si>
  <si>
    <t>税金（总算）</t>
  </si>
  <si>
    <t>企税0.01</t>
  </si>
  <si>
    <r>
      <rPr>
        <b/>
        <sz val="9"/>
        <color rgb="FFFF0000"/>
        <rFont val="宋体"/>
        <charset val="134"/>
      </rPr>
      <t>孙卡 已收税金36733.94元 19.8.5（</t>
    </r>
    <r>
      <rPr>
        <sz val="9"/>
        <color rgb="FFFF0000"/>
        <rFont val="宋体"/>
        <charset val="134"/>
      </rPr>
      <t>可退</t>
    </r>
    <r>
      <rPr>
        <b/>
        <sz val="9"/>
        <color rgb="FFFF0000"/>
        <rFont val="宋体"/>
        <charset val="134"/>
      </rPr>
      <t>）赵加杰</t>
    </r>
  </si>
  <si>
    <t>异地未预缴2个点的税费 暂时先扣</t>
  </si>
  <si>
    <t xml:space="preserve">  </t>
  </si>
  <si>
    <t>11-7退赵加杰</t>
  </si>
  <si>
    <t>无为县赫店镇2019年(四好农村路)扩面延伸工程4标段(黄墩村,汪邵村)</t>
  </si>
  <si>
    <t>19.8月份开票应缴纳税款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</si>
</sst>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yy/m/d;@"/>
    <numFmt numFmtId="179" formatCode="yyyy&quot;年&quot;m&quot;月&quot;;@"/>
    <numFmt numFmtId="180" formatCode="#,##0_ 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9" fontId="2" fillId="0" borderId="1" xfId="1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1" fillId="5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6" borderId="1" xfId="11" applyNumberFormat="1" applyFont="1" applyFill="1" applyBorder="1" applyAlignment="1">
      <alignment horizontal="center" vertical="center"/>
    </xf>
    <xf numFmtId="9" fontId="3" fillId="6" borderId="1" xfId="1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7" fillId="0" borderId="0" xfId="0" applyNumberFormat="1" applyFont="1" applyBorder="1" applyAlignment="1">
      <alignment vertical="center" wrapText="1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6" fontId="5" fillId="0" borderId="0" xfId="0" applyNumberFormat="1" applyFont="1"/>
    <xf numFmtId="176" fontId="2" fillId="0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176" fontId="1" fillId="4" borderId="1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1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25400</xdr:colOff>
      <xdr:row>76</xdr:row>
      <xdr:rowOff>219075</xdr:rowOff>
    </xdr:from>
    <xdr:to>
      <xdr:col>11</xdr:col>
      <xdr:colOff>907415</xdr:colOff>
      <xdr:row>78</xdr:row>
      <xdr:rowOff>782320</xdr:rowOff>
    </xdr:to>
    <xdr:pic>
      <xdr:nvPicPr>
        <xdr:cNvPr id="2" name="图片 1" descr="R328S18ZYC@8H_WI@JAA]1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79100" y="17642840"/>
          <a:ext cx="882015" cy="1020445"/>
        </a:xfrm>
        <a:prstGeom prst="rect">
          <a:avLst/>
        </a:prstGeom>
      </xdr:spPr>
    </xdr:pic>
    <xdr:clientData/>
  </xdr:twoCellAnchor>
  <xdr:twoCellAnchor editAs="oneCell">
    <xdr:from>
      <xdr:col>14</xdr:col>
      <xdr:colOff>104140</xdr:colOff>
      <xdr:row>78</xdr:row>
      <xdr:rowOff>12065</xdr:rowOff>
    </xdr:from>
    <xdr:to>
      <xdr:col>15</xdr:col>
      <xdr:colOff>38100</xdr:colOff>
      <xdr:row>78</xdr:row>
      <xdr:rowOff>828675</xdr:rowOff>
    </xdr:to>
    <xdr:pic>
      <xdr:nvPicPr>
        <xdr:cNvPr id="3" name="图片 2" descr="324%81X5U[LEYT`~I}H`8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15290" y="17893030"/>
          <a:ext cx="705485" cy="816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9525</xdr:colOff>
      <xdr:row>58</xdr:row>
      <xdr:rowOff>9525</xdr:rowOff>
    </xdr:from>
    <xdr:to>
      <xdr:col>12</xdr:col>
      <xdr:colOff>201930</xdr:colOff>
      <xdr:row>63</xdr:row>
      <xdr:rowOff>86995</xdr:rowOff>
    </xdr:to>
    <xdr:pic>
      <xdr:nvPicPr>
        <xdr:cNvPr id="2" name="图片 1" descr="R328S18ZYC@8H_WI@JAA]1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01375" y="13318490"/>
          <a:ext cx="1592580" cy="1839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"/>
  <sheetViews>
    <sheetView tabSelected="1" topLeftCell="A38" workbookViewId="0">
      <selection activeCell="G45" sqref="G45:G66"/>
    </sheetView>
  </sheetViews>
  <sheetFormatPr defaultColWidth="9" defaultRowHeight="11.25"/>
  <cols>
    <col min="1" max="1" width="10.75" style="11" customWidth="1"/>
    <col min="2" max="2" width="13.125" style="12" customWidth="1"/>
    <col min="3" max="3" width="6" style="13" customWidth="1"/>
    <col min="4" max="4" width="13.375" style="13" customWidth="1"/>
    <col min="5" max="5" width="6" style="13" customWidth="1"/>
    <col min="6" max="6" width="13.125" style="12" customWidth="1"/>
    <col min="7" max="7" width="13.375" style="12" customWidth="1"/>
    <col min="8" max="8" width="11.25" style="13" customWidth="1"/>
    <col min="9" max="9" width="13.875" style="12" customWidth="1"/>
    <col min="10" max="10" width="6.125" style="14" customWidth="1"/>
    <col min="11" max="11" width="31.5" style="15" customWidth="1"/>
    <col min="12" max="12" width="18.375" style="15" customWidth="1"/>
    <col min="13" max="13" width="8.25" style="15" customWidth="1"/>
    <col min="14" max="14" width="5.625" style="15" customWidth="1"/>
    <col min="15" max="15" width="10.125" style="15"/>
    <col min="16" max="16" width="20" style="15" customWidth="1"/>
    <col min="17" max="16384" width="9" style="15"/>
  </cols>
  <sheetData>
    <row r="1" ht="21.95" customHeight="1" spans="1:12">
      <c r="A1" s="16" t="s">
        <v>0</v>
      </c>
      <c r="B1" s="16"/>
      <c r="C1" s="16"/>
      <c r="D1" s="16"/>
      <c r="E1" s="16"/>
      <c r="F1" s="17"/>
      <c r="G1" s="17"/>
      <c r="H1" s="16"/>
      <c r="I1" s="17"/>
      <c r="J1" s="16"/>
      <c r="K1" s="26"/>
      <c r="L1" s="26"/>
    </row>
    <row r="2" ht="18" customHeight="1" spans="1:12">
      <c r="A2" s="18" t="s">
        <v>1</v>
      </c>
      <c r="B2" s="19">
        <v>43529</v>
      </c>
      <c r="C2" s="20" t="s">
        <v>2</v>
      </c>
      <c r="D2" s="65">
        <v>7540971.78</v>
      </c>
      <c r="E2" s="7" t="s">
        <v>3</v>
      </c>
      <c r="F2" s="22" t="s">
        <v>4</v>
      </c>
      <c r="G2" s="23" t="s">
        <v>5</v>
      </c>
      <c r="H2" s="24" t="s">
        <v>6</v>
      </c>
      <c r="I2" s="52"/>
      <c r="J2" s="53"/>
      <c r="K2" s="26"/>
      <c r="L2" s="26"/>
    </row>
    <row r="3" ht="18" customHeight="1" spans="1:12">
      <c r="A3" s="18" t="s">
        <v>7</v>
      </c>
      <c r="B3" s="25"/>
      <c r="C3" s="20" t="s">
        <v>8</v>
      </c>
      <c r="D3" s="20"/>
      <c r="H3" s="26"/>
      <c r="I3" s="54"/>
      <c r="J3" s="26"/>
      <c r="K3" s="26"/>
      <c r="L3" s="26"/>
    </row>
    <row r="4" ht="18" customHeight="1" spans="1:12">
      <c r="A4" s="11" t="s">
        <v>9</v>
      </c>
      <c r="H4" s="26"/>
      <c r="I4" s="54"/>
      <c r="J4" s="26"/>
      <c r="K4" s="26"/>
      <c r="L4" s="26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27">
        <v>43679</v>
      </c>
      <c r="B7" s="20">
        <f t="shared" ref="B7:B13" si="0">G7/(1+C7+E7)</f>
        <v>477064.220183486</v>
      </c>
      <c r="C7" s="29">
        <v>0.02</v>
      </c>
      <c r="D7" s="66">
        <f t="shared" ref="D7:D13" si="1">G7/(1+E7+C7)*C7</f>
        <v>9541.28440366972</v>
      </c>
      <c r="E7" s="29">
        <v>0.07</v>
      </c>
      <c r="F7" s="20">
        <f t="shared" ref="F7:F13" si="2">G7/(1+C7+E7)*E7</f>
        <v>33394.495412844</v>
      </c>
      <c r="G7" s="67">
        <v>520000</v>
      </c>
      <c r="H7" s="27">
        <v>43682</v>
      </c>
      <c r="I7" s="20">
        <v>520000</v>
      </c>
      <c r="J7" s="55" t="s">
        <v>21</v>
      </c>
    </row>
    <row r="8" ht="18" customHeight="1" spans="1:15">
      <c r="A8" s="27">
        <v>43705</v>
      </c>
      <c r="B8" s="20">
        <f t="shared" si="0"/>
        <v>477064.220183486</v>
      </c>
      <c r="C8" s="29">
        <v>0.02</v>
      </c>
      <c r="D8" s="66">
        <f t="shared" si="1"/>
        <v>9541.28440366972</v>
      </c>
      <c r="E8" s="32">
        <v>0.07</v>
      </c>
      <c r="F8" s="20">
        <f t="shared" si="2"/>
        <v>33394.495412844</v>
      </c>
      <c r="G8" s="67">
        <v>520000</v>
      </c>
      <c r="H8" s="27">
        <v>43718</v>
      </c>
      <c r="I8" s="20">
        <v>520000</v>
      </c>
      <c r="J8" s="55" t="s">
        <v>21</v>
      </c>
      <c r="O8" s="15">
        <f>I7*0.03</f>
        <v>15600</v>
      </c>
    </row>
    <row r="9" ht="18" customHeight="1" spans="1:15">
      <c r="A9" s="27">
        <v>43748</v>
      </c>
      <c r="B9" s="20">
        <f t="shared" si="0"/>
        <v>771559.633027523</v>
      </c>
      <c r="C9" s="29">
        <v>0.02</v>
      </c>
      <c r="D9" s="66">
        <f t="shared" si="1"/>
        <v>15431.1926605505</v>
      </c>
      <c r="E9" s="32">
        <v>0.07</v>
      </c>
      <c r="F9" s="20">
        <f t="shared" si="2"/>
        <v>54009.1743119266</v>
      </c>
      <c r="G9" s="67">
        <v>841000</v>
      </c>
      <c r="H9" s="27">
        <v>43770</v>
      </c>
      <c r="I9" s="20">
        <v>841000</v>
      </c>
      <c r="J9" s="55" t="s">
        <v>21</v>
      </c>
      <c r="O9" s="15">
        <f>O8*2</f>
        <v>31200</v>
      </c>
    </row>
    <row r="10" ht="18" customHeight="1" spans="1:10">
      <c r="A10" s="27">
        <v>43849</v>
      </c>
      <c r="B10" s="20">
        <f t="shared" si="0"/>
        <v>447706.422018349</v>
      </c>
      <c r="C10" s="29">
        <v>0.02</v>
      </c>
      <c r="D10" s="66">
        <f t="shared" si="1"/>
        <v>8954.12844036697</v>
      </c>
      <c r="E10" s="32">
        <v>0.07</v>
      </c>
      <c r="F10" s="20">
        <f t="shared" si="2"/>
        <v>31339.4495412844</v>
      </c>
      <c r="G10" s="67">
        <v>488000</v>
      </c>
      <c r="H10" s="27">
        <v>43850</v>
      </c>
      <c r="I10" s="20">
        <v>488000</v>
      </c>
      <c r="J10" s="55" t="s">
        <v>21</v>
      </c>
    </row>
    <row r="11" ht="18" customHeight="1" spans="1:10">
      <c r="A11" s="27">
        <v>44020</v>
      </c>
      <c r="B11" s="20">
        <f t="shared" si="0"/>
        <v>181651.376146789</v>
      </c>
      <c r="C11" s="32">
        <v>0.02</v>
      </c>
      <c r="D11" s="66">
        <f t="shared" si="1"/>
        <v>3633.02752293578</v>
      </c>
      <c r="E11" s="32">
        <v>0.07</v>
      </c>
      <c r="F11" s="20">
        <f t="shared" si="2"/>
        <v>12715.5963302752</v>
      </c>
      <c r="G11" s="67">
        <v>198000</v>
      </c>
      <c r="H11" s="27">
        <v>44229</v>
      </c>
      <c r="I11" s="20">
        <v>198000</v>
      </c>
      <c r="J11" s="55" t="s">
        <v>22</v>
      </c>
    </row>
    <row r="12" ht="18" customHeight="1" spans="1:10">
      <c r="A12" s="27">
        <v>44230</v>
      </c>
      <c r="B12" s="20">
        <f t="shared" si="0"/>
        <v>2079816.51376147</v>
      </c>
      <c r="C12" s="32">
        <v>0.02</v>
      </c>
      <c r="D12" s="66">
        <f t="shared" si="1"/>
        <v>41596.3302752294</v>
      </c>
      <c r="E12" s="32">
        <v>0.07</v>
      </c>
      <c r="F12" s="20">
        <f t="shared" si="2"/>
        <v>145587.155963303</v>
      </c>
      <c r="G12" s="67">
        <v>2267000</v>
      </c>
      <c r="H12" s="27">
        <v>44246</v>
      </c>
      <c r="I12" s="20">
        <v>1133000</v>
      </c>
      <c r="J12" s="55" t="s">
        <v>22</v>
      </c>
    </row>
    <row r="13" ht="18" customHeight="1" spans="1:10">
      <c r="A13" s="27"/>
      <c r="B13" s="20">
        <f t="shared" si="0"/>
        <v>0</v>
      </c>
      <c r="C13" s="32">
        <v>0.02</v>
      </c>
      <c r="D13" s="66">
        <f t="shared" si="1"/>
        <v>0</v>
      </c>
      <c r="E13" s="32">
        <v>0.07</v>
      </c>
      <c r="F13" s="20">
        <f t="shared" si="2"/>
        <v>0</v>
      </c>
      <c r="G13" s="67"/>
      <c r="H13" s="27">
        <v>44246</v>
      </c>
      <c r="I13" s="20">
        <v>1134000</v>
      </c>
      <c r="J13" s="55" t="s">
        <v>22</v>
      </c>
    </row>
    <row r="14" ht="18" customHeight="1" spans="1:10">
      <c r="A14" s="4" t="s">
        <v>23</v>
      </c>
      <c r="B14" s="68">
        <f>SUM(B7:B13)</f>
        <v>4434862.3853211</v>
      </c>
      <c r="C14" s="34"/>
      <c r="D14" s="34">
        <f>SUM(D7:D13)</f>
        <v>88697.247706422</v>
      </c>
      <c r="E14" s="34"/>
      <c r="F14" s="69">
        <f>SUM(F7:F13)</f>
        <v>310440.366972477</v>
      </c>
      <c r="G14" s="34">
        <f>SUM(G7:G13)</f>
        <v>4834000</v>
      </c>
      <c r="H14" s="37"/>
      <c r="I14" s="34">
        <f>SUM(I7:I13)</f>
        <v>4834000</v>
      </c>
      <c r="J14" s="37"/>
    </row>
    <row r="15" ht="18" customHeight="1" spans="1:12">
      <c r="A15" s="11" t="s">
        <v>24</v>
      </c>
      <c r="J15" s="13"/>
      <c r="K15" s="13"/>
      <c r="L15" s="14"/>
    </row>
    <row r="16" ht="18" customHeight="1" spans="1:15">
      <c r="A16" s="9" t="s">
        <v>25</v>
      </c>
      <c r="B16" s="3" t="s">
        <v>26</v>
      </c>
      <c r="C16" s="2" t="s">
        <v>27</v>
      </c>
      <c r="D16" s="2" t="s">
        <v>28</v>
      </c>
      <c r="E16" s="2" t="s">
        <v>16</v>
      </c>
      <c r="F16" s="3" t="s">
        <v>29</v>
      </c>
      <c r="G16" s="3" t="s">
        <v>14</v>
      </c>
      <c r="H16" s="2" t="s">
        <v>30</v>
      </c>
      <c r="I16" s="3" t="s">
        <v>31</v>
      </c>
      <c r="J16" s="2" t="s">
        <v>20</v>
      </c>
      <c r="K16" s="56" t="s">
        <v>32</v>
      </c>
      <c r="L16" s="1" t="s">
        <v>33</v>
      </c>
      <c r="M16" s="1" t="s">
        <v>34</v>
      </c>
      <c r="N16" s="1" t="s">
        <v>35</v>
      </c>
      <c r="O16" s="1" t="s">
        <v>36</v>
      </c>
    </row>
    <row r="17" s="10" customFormat="1" ht="18" customHeight="1" spans="1:15">
      <c r="A17" s="38">
        <v>43709</v>
      </c>
      <c r="B17" s="70">
        <f t="shared" ref="B17:B28" si="3">ROUND(G17/(1+E17),2)</f>
        <v>265525.75</v>
      </c>
      <c r="C17" s="39"/>
      <c r="D17" s="40" t="s">
        <v>37</v>
      </c>
      <c r="E17" s="41">
        <v>0.13</v>
      </c>
      <c r="F17" s="70">
        <f t="shared" ref="F17:F28" si="4">ROUND(G17/(1+E17)*E17,2)</f>
        <v>34518.35</v>
      </c>
      <c r="G17" s="67">
        <v>300044.1</v>
      </c>
      <c r="H17" s="27">
        <v>43724</v>
      </c>
      <c r="I17" s="20">
        <v>300000</v>
      </c>
      <c r="J17" s="55" t="s">
        <v>21</v>
      </c>
      <c r="K17" s="57" t="s">
        <v>38</v>
      </c>
      <c r="L17" s="58" t="s">
        <v>39</v>
      </c>
      <c r="M17" s="59"/>
      <c r="N17" s="59"/>
      <c r="O17" s="58"/>
    </row>
    <row r="18" s="10" customFormat="1" ht="18" customHeight="1" spans="1:15">
      <c r="A18" s="38">
        <v>43709</v>
      </c>
      <c r="B18" s="70">
        <f t="shared" si="3"/>
        <v>265486.73</v>
      </c>
      <c r="C18" s="39"/>
      <c r="D18" s="40" t="s">
        <v>37</v>
      </c>
      <c r="E18" s="41">
        <v>0.13</v>
      </c>
      <c r="F18" s="70">
        <f t="shared" si="4"/>
        <v>34513.27</v>
      </c>
      <c r="G18" s="67">
        <f>110500*2+79000</f>
        <v>300000</v>
      </c>
      <c r="H18" s="27">
        <v>43724</v>
      </c>
      <c r="I18" s="20">
        <v>300000</v>
      </c>
      <c r="J18" s="55" t="s">
        <v>21</v>
      </c>
      <c r="K18" s="57" t="s">
        <v>40</v>
      </c>
      <c r="L18" s="58" t="s">
        <v>41</v>
      </c>
      <c r="M18" s="59"/>
      <c r="N18" s="59"/>
      <c r="O18" s="58"/>
    </row>
    <row r="19" s="10" customFormat="1" ht="18" customHeight="1" spans="1:15">
      <c r="A19" s="38">
        <v>43709</v>
      </c>
      <c r="B19" s="70">
        <f t="shared" si="3"/>
        <v>100000</v>
      </c>
      <c r="C19" s="39"/>
      <c r="D19" s="40" t="s">
        <v>42</v>
      </c>
      <c r="E19" s="42"/>
      <c r="F19" s="70">
        <f t="shared" si="4"/>
        <v>0</v>
      </c>
      <c r="G19" s="67">
        <v>100000</v>
      </c>
      <c r="H19" s="27">
        <v>43738</v>
      </c>
      <c r="I19" s="20">
        <v>100000</v>
      </c>
      <c r="J19" s="55" t="s">
        <v>43</v>
      </c>
      <c r="K19" s="57" t="s">
        <v>44</v>
      </c>
      <c r="L19" s="58" t="s">
        <v>45</v>
      </c>
      <c r="M19" s="59"/>
      <c r="N19" s="59"/>
      <c r="O19" s="58"/>
    </row>
    <row r="20" s="10" customFormat="1" ht="18" customHeight="1" spans="1:15">
      <c r="A20" s="38">
        <v>43709</v>
      </c>
      <c r="B20" s="70">
        <f t="shared" si="3"/>
        <v>82400</v>
      </c>
      <c r="C20" s="39"/>
      <c r="D20" s="40" t="s">
        <v>42</v>
      </c>
      <c r="E20" s="42"/>
      <c r="F20" s="70">
        <f t="shared" si="4"/>
        <v>0</v>
      </c>
      <c r="G20" s="67">
        <v>82400</v>
      </c>
      <c r="H20" s="27">
        <v>43738</v>
      </c>
      <c r="I20" s="20">
        <v>82400</v>
      </c>
      <c r="J20" s="55" t="s">
        <v>43</v>
      </c>
      <c r="K20" s="57" t="s">
        <v>46</v>
      </c>
      <c r="L20" s="58" t="s">
        <v>45</v>
      </c>
      <c r="M20" s="59"/>
      <c r="N20" s="59"/>
      <c r="O20" s="58"/>
    </row>
    <row r="21" s="10" customFormat="1" ht="18" customHeight="1" spans="1:15">
      <c r="A21" s="38">
        <v>43709</v>
      </c>
      <c r="B21" s="70">
        <f t="shared" si="3"/>
        <v>100000</v>
      </c>
      <c r="C21" s="39"/>
      <c r="D21" s="40" t="s">
        <v>42</v>
      </c>
      <c r="E21" s="42"/>
      <c r="F21" s="70">
        <f t="shared" si="4"/>
        <v>0</v>
      </c>
      <c r="G21" s="67">
        <v>100000</v>
      </c>
      <c r="H21" s="27">
        <v>43738</v>
      </c>
      <c r="I21" s="20">
        <v>100000</v>
      </c>
      <c r="J21" s="55" t="s">
        <v>43</v>
      </c>
      <c r="K21" s="57" t="s">
        <v>47</v>
      </c>
      <c r="L21" s="58" t="s">
        <v>45</v>
      </c>
      <c r="M21" s="59"/>
      <c r="N21" s="59"/>
      <c r="O21" s="58"/>
    </row>
    <row r="22" s="10" customFormat="1" ht="18" customHeight="1" spans="1:15">
      <c r="A22" s="38">
        <v>43709</v>
      </c>
      <c r="B22" s="70">
        <f t="shared" si="3"/>
        <v>100000</v>
      </c>
      <c r="C22" s="39"/>
      <c r="D22" s="40" t="s">
        <v>42</v>
      </c>
      <c r="E22" s="42"/>
      <c r="F22" s="70">
        <f t="shared" si="4"/>
        <v>0</v>
      </c>
      <c r="G22" s="67">
        <v>100000</v>
      </c>
      <c r="H22" s="27">
        <v>43738</v>
      </c>
      <c r="I22" s="20">
        <v>100000</v>
      </c>
      <c r="J22" s="55" t="s">
        <v>43</v>
      </c>
      <c r="K22" s="57" t="s">
        <v>48</v>
      </c>
      <c r="L22" s="58" t="s">
        <v>45</v>
      </c>
      <c r="M22" s="59"/>
      <c r="N22" s="59"/>
      <c r="O22" s="58"/>
    </row>
    <row r="23" s="10" customFormat="1" ht="18" customHeight="1" spans="1:15">
      <c r="A23" s="38">
        <v>43739</v>
      </c>
      <c r="B23" s="70">
        <f t="shared" si="3"/>
        <v>398230.09</v>
      </c>
      <c r="C23" s="39"/>
      <c r="D23" s="40" t="s">
        <v>37</v>
      </c>
      <c r="E23" s="41">
        <v>0.13</v>
      </c>
      <c r="F23" s="70">
        <f t="shared" si="4"/>
        <v>51769.91</v>
      </c>
      <c r="G23" s="67">
        <v>450000</v>
      </c>
      <c r="H23" s="27">
        <v>43776</v>
      </c>
      <c r="I23" s="20">
        <v>450000</v>
      </c>
      <c r="J23" s="55" t="s">
        <v>21</v>
      </c>
      <c r="K23" s="57" t="s">
        <v>49</v>
      </c>
      <c r="L23" s="58" t="s">
        <v>50</v>
      </c>
      <c r="M23" s="59"/>
      <c r="N23" s="59"/>
      <c r="O23" s="58"/>
    </row>
    <row r="24" s="10" customFormat="1" ht="18" customHeight="1" spans="1:15">
      <c r="A24" s="38">
        <v>43770</v>
      </c>
      <c r="B24" s="70">
        <f t="shared" si="3"/>
        <v>65000</v>
      </c>
      <c r="C24" s="39"/>
      <c r="D24" s="40" t="s">
        <v>42</v>
      </c>
      <c r="E24" s="42"/>
      <c r="F24" s="70">
        <f t="shared" si="4"/>
        <v>0</v>
      </c>
      <c r="G24" s="67">
        <v>65000</v>
      </c>
      <c r="H24" s="27">
        <v>43787</v>
      </c>
      <c r="I24" s="20">
        <v>65000</v>
      </c>
      <c r="J24" s="55" t="s">
        <v>43</v>
      </c>
      <c r="K24" s="57" t="s">
        <v>48</v>
      </c>
      <c r="L24" s="58" t="s">
        <v>45</v>
      </c>
      <c r="M24" s="59"/>
      <c r="N24" s="59"/>
      <c r="O24" s="58"/>
    </row>
    <row r="25" s="10" customFormat="1" ht="18" customHeight="1" spans="1:15">
      <c r="A25" s="38">
        <v>43770</v>
      </c>
      <c r="B25" s="70">
        <f t="shared" si="3"/>
        <v>300000</v>
      </c>
      <c r="C25" s="39"/>
      <c r="D25" s="40" t="s">
        <v>42</v>
      </c>
      <c r="E25" s="42"/>
      <c r="F25" s="70">
        <f t="shared" si="4"/>
        <v>0</v>
      </c>
      <c r="G25" s="67">
        <v>300000</v>
      </c>
      <c r="H25" s="27">
        <v>43781</v>
      </c>
      <c r="I25" s="20">
        <v>300000</v>
      </c>
      <c r="J25" s="55" t="s">
        <v>43</v>
      </c>
      <c r="K25" s="57" t="s">
        <v>51</v>
      </c>
      <c r="L25" s="58" t="s">
        <v>52</v>
      </c>
      <c r="M25" s="59"/>
      <c r="N25" s="59"/>
      <c r="O25" s="58"/>
    </row>
    <row r="26" s="10" customFormat="1" ht="18" customHeight="1" spans="1:15">
      <c r="A26" s="38">
        <v>43831</v>
      </c>
      <c r="B26" s="70">
        <f t="shared" si="3"/>
        <v>473786.41</v>
      </c>
      <c r="C26" s="39"/>
      <c r="D26" s="40" t="s">
        <v>37</v>
      </c>
      <c r="E26" s="41">
        <v>0.03</v>
      </c>
      <c r="F26" s="70">
        <f t="shared" si="4"/>
        <v>14213.59</v>
      </c>
      <c r="G26" s="67">
        <v>488000</v>
      </c>
      <c r="H26" s="27">
        <v>43853</v>
      </c>
      <c r="I26" s="20">
        <v>472792</v>
      </c>
      <c r="J26" s="55" t="s">
        <v>21</v>
      </c>
      <c r="K26" s="57" t="s">
        <v>53</v>
      </c>
      <c r="L26" s="58" t="s">
        <v>54</v>
      </c>
      <c r="M26" s="59" t="s">
        <v>55</v>
      </c>
      <c r="N26" s="59"/>
      <c r="O26" s="58"/>
    </row>
    <row r="27" s="10" customFormat="1" ht="18" customHeight="1" spans="1:15">
      <c r="A27" s="38">
        <v>44228</v>
      </c>
      <c r="B27" s="70">
        <f t="shared" ref="B27:B37" si="5">ROUND(G27/(1+E27),2)</f>
        <v>400000</v>
      </c>
      <c r="C27" s="39" t="s">
        <v>56</v>
      </c>
      <c r="D27" s="40" t="s">
        <v>42</v>
      </c>
      <c r="E27" s="41"/>
      <c r="F27" s="70">
        <f t="shared" ref="F27:F38" si="6">ROUND(G27/(1+E27)*E27,2)</f>
        <v>0</v>
      </c>
      <c r="G27" s="67">
        <v>400000</v>
      </c>
      <c r="H27" s="27"/>
      <c r="I27" s="20"/>
      <c r="J27" s="55"/>
      <c r="K27" s="57" t="s">
        <v>57</v>
      </c>
      <c r="L27" s="58" t="s">
        <v>58</v>
      </c>
      <c r="M27" s="58" t="s">
        <v>55</v>
      </c>
      <c r="N27" s="59"/>
      <c r="O27" s="58" t="s">
        <v>59</v>
      </c>
    </row>
    <row r="28" s="10" customFormat="1" ht="18" customHeight="1" spans="1:15">
      <c r="A28" s="38">
        <v>44228</v>
      </c>
      <c r="B28" s="70">
        <f t="shared" si="5"/>
        <v>400000</v>
      </c>
      <c r="C28" s="39" t="s">
        <v>56</v>
      </c>
      <c r="D28" s="40" t="s">
        <v>42</v>
      </c>
      <c r="E28" s="41"/>
      <c r="F28" s="70">
        <f t="shared" si="6"/>
        <v>0</v>
      </c>
      <c r="G28" s="67">
        <v>400000</v>
      </c>
      <c r="H28" s="27"/>
      <c r="I28" s="20"/>
      <c r="J28" s="55"/>
      <c r="K28" s="57" t="s">
        <v>60</v>
      </c>
      <c r="L28" s="58" t="s">
        <v>61</v>
      </c>
      <c r="M28" s="58" t="s">
        <v>55</v>
      </c>
      <c r="N28" s="59"/>
      <c r="O28" s="58" t="s">
        <v>59</v>
      </c>
    </row>
    <row r="29" s="10" customFormat="1" ht="18" customHeight="1" spans="1:15">
      <c r="A29" s="38">
        <v>44228</v>
      </c>
      <c r="B29" s="70">
        <f t="shared" si="5"/>
        <v>400000</v>
      </c>
      <c r="C29" s="39" t="s">
        <v>56</v>
      </c>
      <c r="D29" s="40" t="s">
        <v>42</v>
      </c>
      <c r="E29" s="41"/>
      <c r="F29" s="70">
        <f t="shared" si="6"/>
        <v>0</v>
      </c>
      <c r="G29" s="67">
        <v>400000</v>
      </c>
      <c r="H29" s="27"/>
      <c r="I29" s="20"/>
      <c r="J29" s="55"/>
      <c r="K29" s="57" t="s">
        <v>48</v>
      </c>
      <c r="L29" s="58" t="s">
        <v>61</v>
      </c>
      <c r="M29" s="58" t="s">
        <v>55</v>
      </c>
      <c r="N29" s="59"/>
      <c r="O29" s="58" t="s">
        <v>59</v>
      </c>
    </row>
    <row r="30" s="10" customFormat="1" ht="18" customHeight="1" spans="1:15">
      <c r="A30" s="38">
        <v>44228</v>
      </c>
      <c r="B30" s="70">
        <f t="shared" si="5"/>
        <v>400000</v>
      </c>
      <c r="C30" s="39" t="s">
        <v>56</v>
      </c>
      <c r="D30" s="40" t="s">
        <v>42</v>
      </c>
      <c r="E30" s="41"/>
      <c r="F30" s="70">
        <f t="shared" si="6"/>
        <v>0</v>
      </c>
      <c r="G30" s="67">
        <v>400000</v>
      </c>
      <c r="H30" s="27"/>
      <c r="I30" s="20"/>
      <c r="J30" s="55"/>
      <c r="K30" s="57" t="s">
        <v>62</v>
      </c>
      <c r="L30" s="58" t="s">
        <v>61</v>
      </c>
      <c r="M30" s="58" t="s">
        <v>55</v>
      </c>
      <c r="N30" s="59"/>
      <c r="O30" s="58" t="s">
        <v>59</v>
      </c>
    </row>
    <row r="31" s="10" customFormat="1" ht="18" customHeight="1" spans="1:15">
      <c r="A31" s="38">
        <v>44228</v>
      </c>
      <c r="B31" s="70">
        <f t="shared" si="5"/>
        <v>374640</v>
      </c>
      <c r="C31" s="39" t="s">
        <v>56</v>
      </c>
      <c r="D31" s="40" t="s">
        <v>42</v>
      </c>
      <c r="E31" s="41"/>
      <c r="F31" s="70">
        <f t="shared" si="6"/>
        <v>0</v>
      </c>
      <c r="G31" s="67">
        <v>374640</v>
      </c>
      <c r="H31" s="27"/>
      <c r="I31" s="20"/>
      <c r="J31" s="55"/>
      <c r="K31" s="57" t="s">
        <v>63</v>
      </c>
      <c r="L31" s="58" t="s">
        <v>64</v>
      </c>
      <c r="M31" s="58" t="s">
        <v>55</v>
      </c>
      <c r="N31" s="59"/>
      <c r="O31" s="58" t="s">
        <v>65</v>
      </c>
    </row>
    <row r="32" s="10" customFormat="1" ht="18" customHeight="1" spans="1:15">
      <c r="A32" s="38">
        <v>44228</v>
      </c>
      <c r="B32" s="70">
        <f t="shared" si="5"/>
        <v>400000</v>
      </c>
      <c r="C32" s="39" t="s">
        <v>56</v>
      </c>
      <c r="D32" s="40" t="s">
        <v>42</v>
      </c>
      <c r="E32" s="41"/>
      <c r="F32" s="70">
        <f t="shared" si="6"/>
        <v>0</v>
      </c>
      <c r="G32" s="67">
        <v>400000</v>
      </c>
      <c r="H32" s="27"/>
      <c r="I32" s="20"/>
      <c r="J32" s="55"/>
      <c r="K32" s="57" t="s">
        <v>66</v>
      </c>
      <c r="L32" s="58" t="s">
        <v>67</v>
      </c>
      <c r="M32" s="58" t="s">
        <v>55</v>
      </c>
      <c r="N32" s="59"/>
      <c r="O32" s="58" t="s">
        <v>59</v>
      </c>
    </row>
    <row r="33" s="10" customFormat="1" ht="18" customHeight="1" spans="1:15">
      <c r="A33" s="38"/>
      <c r="B33" s="70"/>
      <c r="C33" s="39"/>
      <c r="D33" s="40"/>
      <c r="E33" s="41"/>
      <c r="F33" s="70"/>
      <c r="G33" s="67"/>
      <c r="H33" s="27">
        <v>44252</v>
      </c>
      <c r="I33" s="20">
        <v>400000</v>
      </c>
      <c r="J33" s="55" t="s">
        <v>43</v>
      </c>
      <c r="K33" s="71" t="s">
        <v>48</v>
      </c>
      <c r="L33" s="58" t="s">
        <v>68</v>
      </c>
      <c r="M33" s="58"/>
      <c r="N33" s="59"/>
      <c r="O33" s="58"/>
    </row>
    <row r="34" s="10" customFormat="1" ht="18" customHeight="1" spans="1:15">
      <c r="A34" s="38"/>
      <c r="B34" s="70"/>
      <c r="C34" s="39"/>
      <c r="D34" s="40"/>
      <c r="E34" s="41"/>
      <c r="F34" s="70"/>
      <c r="G34" s="67"/>
      <c r="H34" s="27">
        <v>44252</v>
      </c>
      <c r="I34" s="20">
        <v>400000</v>
      </c>
      <c r="J34" s="55" t="s">
        <v>43</v>
      </c>
      <c r="K34" s="57" t="s">
        <v>57</v>
      </c>
      <c r="L34" s="58" t="s">
        <v>58</v>
      </c>
      <c r="M34" s="58"/>
      <c r="N34" s="59"/>
      <c r="O34" s="58"/>
    </row>
    <row r="35" s="10" customFormat="1" ht="18" customHeight="1" spans="1:15">
      <c r="A35" s="38"/>
      <c r="B35" s="70"/>
      <c r="C35" s="39"/>
      <c r="D35" s="40"/>
      <c r="E35" s="41"/>
      <c r="F35" s="70"/>
      <c r="G35" s="67"/>
      <c r="H35" s="27">
        <v>44252</v>
      </c>
      <c r="I35" s="20">
        <v>400000</v>
      </c>
      <c r="J35" s="55" t="s">
        <v>43</v>
      </c>
      <c r="K35" s="71" t="s">
        <v>66</v>
      </c>
      <c r="L35" s="58" t="s">
        <v>69</v>
      </c>
      <c r="M35" s="58"/>
      <c r="N35" s="59"/>
      <c r="O35" s="58"/>
    </row>
    <row r="36" s="10" customFormat="1" ht="18" customHeight="1" spans="1:15">
      <c r="A36" s="38"/>
      <c r="B36" s="70"/>
      <c r="C36" s="39"/>
      <c r="D36" s="40"/>
      <c r="E36" s="41"/>
      <c r="F36" s="70"/>
      <c r="G36" s="67"/>
      <c r="H36" s="27">
        <v>44252</v>
      </c>
      <c r="I36" s="20">
        <v>203658.07</v>
      </c>
      <c r="J36" s="55" t="s">
        <v>43</v>
      </c>
      <c r="K36" s="71" t="s">
        <v>63</v>
      </c>
      <c r="L36" s="58" t="s">
        <v>70</v>
      </c>
      <c r="M36" s="58"/>
      <c r="N36" s="59"/>
      <c r="O36" s="58"/>
    </row>
    <row r="37" s="10" customFormat="1" ht="18" customHeight="1" spans="1:15">
      <c r="A37" s="38"/>
      <c r="B37" s="70"/>
      <c r="C37" s="39"/>
      <c r="D37" s="40"/>
      <c r="E37" s="41"/>
      <c r="F37" s="70"/>
      <c r="G37" s="67"/>
      <c r="H37" s="27">
        <v>44252</v>
      </c>
      <c r="I37" s="20">
        <v>400000</v>
      </c>
      <c r="J37" s="55" t="s">
        <v>43</v>
      </c>
      <c r="K37" s="71" t="s">
        <v>62</v>
      </c>
      <c r="L37" s="58" t="s">
        <v>68</v>
      </c>
      <c r="M37" s="58"/>
      <c r="N37" s="59"/>
      <c r="O37" s="58"/>
    </row>
    <row r="38" s="10" customFormat="1" ht="18" customHeight="1" spans="1:15">
      <c r="A38" s="38"/>
      <c r="B38" s="70">
        <f>ROUND(G38/(1+E38),2)</f>
        <v>0</v>
      </c>
      <c r="C38" s="39"/>
      <c r="D38" s="40"/>
      <c r="E38" s="41"/>
      <c r="F38" s="70">
        <f>ROUND(G38/(1+E38)*E38,2)</f>
        <v>0</v>
      </c>
      <c r="G38" s="67"/>
      <c r="H38" s="27">
        <v>44252</v>
      </c>
      <c r="I38" s="20">
        <v>400000</v>
      </c>
      <c r="J38" s="55" t="s">
        <v>43</v>
      </c>
      <c r="K38" s="71" t="s">
        <v>60</v>
      </c>
      <c r="L38" s="58" t="s">
        <v>68</v>
      </c>
      <c r="M38" s="59"/>
      <c r="N38" s="59"/>
      <c r="O38" s="58"/>
    </row>
    <row r="39" s="10" customFormat="1" ht="18" customHeight="1" spans="1:15">
      <c r="A39" s="38"/>
      <c r="B39" s="70"/>
      <c r="C39" s="39"/>
      <c r="D39" s="40"/>
      <c r="E39" s="41"/>
      <c r="F39" s="70"/>
      <c r="G39" s="67"/>
      <c r="H39" s="27"/>
      <c r="I39" s="20"/>
      <c r="J39" s="55"/>
      <c r="K39" s="57"/>
      <c r="L39" s="58"/>
      <c r="M39" s="59"/>
      <c r="N39" s="59"/>
      <c r="O39" s="58"/>
    </row>
    <row r="40" s="10" customFormat="1" ht="18" customHeight="1" spans="1:15">
      <c r="A40" s="38"/>
      <c r="B40" s="70"/>
      <c r="C40" s="39"/>
      <c r="D40" s="40"/>
      <c r="E40" s="41"/>
      <c r="F40" s="70"/>
      <c r="G40" s="67"/>
      <c r="H40" s="27"/>
      <c r="I40" s="20"/>
      <c r="J40" s="55"/>
      <c r="K40" s="57"/>
      <c r="L40" s="58"/>
      <c r="M40" s="59"/>
      <c r="N40" s="59"/>
      <c r="O40" s="58"/>
    </row>
    <row r="41" s="10" customFormat="1" ht="18" customHeight="1" spans="1:15">
      <c r="A41" s="38"/>
      <c r="B41" s="70"/>
      <c r="C41" s="39"/>
      <c r="D41" s="40"/>
      <c r="E41" s="41"/>
      <c r="F41" s="70"/>
      <c r="G41" s="67"/>
      <c r="H41" s="27"/>
      <c r="I41" s="20"/>
      <c r="J41" s="55"/>
      <c r="K41" s="57"/>
      <c r="L41" s="58"/>
      <c r="M41" s="59"/>
      <c r="N41" s="59"/>
      <c r="O41" s="58"/>
    </row>
    <row r="42" s="10" customFormat="1" ht="18" customHeight="1" spans="1:15">
      <c r="A42" s="38"/>
      <c r="B42" s="70"/>
      <c r="C42" s="39"/>
      <c r="D42" s="40"/>
      <c r="E42" s="41"/>
      <c r="F42" s="70"/>
      <c r="G42" s="67"/>
      <c r="H42" s="27"/>
      <c r="I42" s="20"/>
      <c r="J42" s="55"/>
      <c r="K42" s="57"/>
      <c r="L42" s="58"/>
      <c r="M42" s="59"/>
      <c r="N42" s="59"/>
      <c r="O42" s="58"/>
    </row>
    <row r="43" s="10" customFormat="1" ht="18" customHeight="1" spans="1:15">
      <c r="A43" s="38"/>
      <c r="B43" s="70"/>
      <c r="C43" s="39"/>
      <c r="D43" s="40"/>
      <c r="E43" s="41"/>
      <c r="F43" s="70"/>
      <c r="G43" s="67"/>
      <c r="H43" s="27" t="s">
        <v>71</v>
      </c>
      <c r="I43" s="20">
        <v>600</v>
      </c>
      <c r="J43" s="55" t="s">
        <v>72</v>
      </c>
      <c r="K43" s="57" t="s">
        <v>73</v>
      </c>
      <c r="L43" s="58"/>
      <c r="M43" s="59"/>
      <c r="N43" s="59"/>
      <c r="O43" s="58"/>
    </row>
    <row r="44" s="10" customFormat="1" ht="18" customHeight="1" spans="1:15">
      <c r="A44" s="38"/>
      <c r="B44" s="70">
        <f>ROUND(G44/(1+E44),2)</f>
        <v>0</v>
      </c>
      <c r="C44" s="39"/>
      <c r="D44" s="40"/>
      <c r="E44" s="41"/>
      <c r="F44" s="70">
        <f>ROUND(G44/(1+E44)*E44,2)</f>
        <v>0</v>
      </c>
      <c r="G44" s="67"/>
      <c r="H44" s="27" t="s">
        <v>71</v>
      </c>
      <c r="I44" s="20">
        <v>22670</v>
      </c>
      <c r="J44" s="55" t="s">
        <v>72</v>
      </c>
      <c r="K44" s="57" t="s">
        <v>74</v>
      </c>
      <c r="L44" s="58"/>
      <c r="M44" s="59"/>
      <c r="N44" s="59"/>
      <c r="O44" s="58"/>
    </row>
    <row r="45" s="10" customFormat="1" ht="18" customHeight="1" spans="1:15">
      <c r="A45" s="38"/>
      <c r="B45" s="70">
        <f>ROUND(G45/(1+E45),2)</f>
        <v>0</v>
      </c>
      <c r="C45" s="39"/>
      <c r="D45" s="40"/>
      <c r="E45" s="41"/>
      <c r="F45" s="70">
        <f>ROUND(G45/(1+E45)*E45,2)</f>
        <v>0</v>
      </c>
      <c r="G45" s="67"/>
      <c r="H45" s="27" t="s">
        <v>71</v>
      </c>
      <c r="I45" s="20">
        <v>148019.43</v>
      </c>
      <c r="J45" s="55" t="s">
        <v>72</v>
      </c>
      <c r="K45" s="57" t="s">
        <v>75</v>
      </c>
      <c r="L45" s="58"/>
      <c r="M45" s="59"/>
      <c r="N45" s="59"/>
      <c r="O45" s="58"/>
    </row>
    <row r="46" s="10" customFormat="1" ht="18" customHeight="1" spans="1:15">
      <c r="A46" s="38"/>
      <c r="B46" s="70">
        <f>ROUND(G46/(1+E46),2)</f>
        <v>90052.5</v>
      </c>
      <c r="C46" s="39"/>
      <c r="D46" s="40"/>
      <c r="E46" s="41"/>
      <c r="F46" s="70">
        <f>ROUND(G46/(1+E46)*E46,2)</f>
        <v>0</v>
      </c>
      <c r="G46" s="67">
        <v>90052.5</v>
      </c>
      <c r="H46" s="27" t="s">
        <v>71</v>
      </c>
      <c r="I46" s="20">
        <v>90052.5</v>
      </c>
      <c r="J46" s="55" t="s">
        <v>72</v>
      </c>
      <c r="K46" s="57" t="s">
        <v>76</v>
      </c>
      <c r="L46" s="58"/>
      <c r="M46" s="59"/>
      <c r="N46" s="59"/>
      <c r="O46" s="58"/>
    </row>
    <row r="47" s="10" customFormat="1" ht="18" customHeight="1" spans="1:15">
      <c r="A47" s="38"/>
      <c r="B47" s="70">
        <f>ROUND(G47/(1+E47),2)</f>
        <v>0</v>
      </c>
      <c r="C47" s="39"/>
      <c r="D47" s="40"/>
      <c r="E47" s="41"/>
      <c r="F47" s="70">
        <f>ROUND(G47/(1+E47)*E47,2)</f>
        <v>0</v>
      </c>
      <c r="G47" s="67"/>
      <c r="H47" s="27">
        <v>44020</v>
      </c>
      <c r="I47" s="20">
        <v>-13987.16</v>
      </c>
      <c r="J47" s="55" t="s">
        <v>77</v>
      </c>
      <c r="K47" s="57" t="s">
        <v>78</v>
      </c>
      <c r="L47" s="58"/>
      <c r="M47" s="59"/>
      <c r="N47" s="59"/>
      <c r="O47" s="58"/>
    </row>
    <row r="48" s="10" customFormat="1" ht="18" customHeight="1" spans="1:15">
      <c r="A48" s="38"/>
      <c r="B48" s="70">
        <f t="shared" ref="B48:B68" si="7">ROUND(G48/(1+E48),2)</f>
        <v>0</v>
      </c>
      <c r="C48" s="39"/>
      <c r="D48" s="40"/>
      <c r="E48" s="41"/>
      <c r="F48" s="70">
        <f>ROUND(G48/(1+E48)*E48,2)</f>
        <v>0</v>
      </c>
      <c r="G48" s="67"/>
      <c r="H48" s="27">
        <v>44020</v>
      </c>
      <c r="I48" s="20">
        <v>13987.16</v>
      </c>
      <c r="J48" s="55" t="s">
        <v>72</v>
      </c>
      <c r="K48" s="57" t="s">
        <v>79</v>
      </c>
      <c r="L48" s="58"/>
      <c r="M48" s="59"/>
      <c r="N48" s="59"/>
      <c r="O48" s="58"/>
    </row>
    <row r="49" s="10" customFormat="1" ht="18" customHeight="1" spans="1:15">
      <c r="A49" s="38"/>
      <c r="B49" s="70">
        <f t="shared" si="7"/>
        <v>0</v>
      </c>
      <c r="C49" s="39"/>
      <c r="D49" s="40"/>
      <c r="E49" s="41"/>
      <c r="F49" s="70">
        <f t="shared" ref="F48:F68" si="8">ROUND(G49/(1+E49)*E49,2)</f>
        <v>0</v>
      </c>
      <c r="G49" s="67"/>
      <c r="H49" s="27" t="s">
        <v>80</v>
      </c>
      <c r="I49" s="20">
        <v>100</v>
      </c>
      <c r="J49" s="55" t="s">
        <v>72</v>
      </c>
      <c r="K49" s="57" t="s">
        <v>73</v>
      </c>
      <c r="L49" s="58"/>
      <c r="M49" s="59"/>
      <c r="N49" s="59"/>
      <c r="O49" s="58"/>
    </row>
    <row r="50" s="10" customFormat="1" ht="18" customHeight="1" spans="1:15">
      <c r="A50" s="38"/>
      <c r="B50" s="70">
        <f t="shared" si="7"/>
        <v>0</v>
      </c>
      <c r="C50" s="39"/>
      <c r="D50" s="40"/>
      <c r="E50" s="41"/>
      <c r="F50" s="70">
        <f t="shared" si="8"/>
        <v>0</v>
      </c>
      <c r="G50" s="67"/>
      <c r="H50" s="27" t="s">
        <v>80</v>
      </c>
      <c r="I50" s="20">
        <v>-4412</v>
      </c>
      <c r="J50" s="55" t="s">
        <v>81</v>
      </c>
      <c r="K50" s="57" t="s">
        <v>82</v>
      </c>
      <c r="L50" s="58"/>
      <c r="M50" s="59"/>
      <c r="N50" s="59"/>
      <c r="O50" s="58"/>
    </row>
    <row r="51" s="10" customFormat="1" ht="18" customHeight="1" spans="1:15">
      <c r="A51" s="38"/>
      <c r="B51" s="70">
        <f t="shared" si="7"/>
        <v>0</v>
      </c>
      <c r="C51" s="39"/>
      <c r="D51" s="40"/>
      <c r="E51" s="41"/>
      <c r="F51" s="70">
        <f t="shared" si="8"/>
        <v>0</v>
      </c>
      <c r="G51" s="67"/>
      <c r="H51" s="27" t="s">
        <v>80</v>
      </c>
      <c r="I51" s="20">
        <v>4880</v>
      </c>
      <c r="J51" s="55" t="s">
        <v>72</v>
      </c>
      <c r="K51" s="57" t="s">
        <v>74</v>
      </c>
      <c r="L51" s="58"/>
      <c r="M51" s="59"/>
      <c r="N51" s="59"/>
      <c r="O51" s="58"/>
    </row>
    <row r="52" s="10" customFormat="1" ht="18" customHeight="1" spans="1:15">
      <c r="A52" s="38"/>
      <c r="B52" s="70">
        <f t="shared" si="7"/>
        <v>14640</v>
      </c>
      <c r="C52" s="39"/>
      <c r="D52" s="40"/>
      <c r="E52" s="42"/>
      <c r="F52" s="70">
        <f t="shared" si="8"/>
        <v>0</v>
      </c>
      <c r="G52" s="67">
        <f>14640</f>
        <v>14640</v>
      </c>
      <c r="H52" s="27" t="s">
        <v>80</v>
      </c>
      <c r="I52" s="20">
        <f>G52</f>
        <v>14640</v>
      </c>
      <c r="J52" s="55" t="s">
        <v>72</v>
      </c>
      <c r="K52" s="57" t="s">
        <v>83</v>
      </c>
      <c r="L52" s="58"/>
      <c r="M52" s="59"/>
      <c r="N52" s="59"/>
      <c r="O52" s="58"/>
    </row>
    <row r="53" s="10" customFormat="1" ht="18" customHeight="1" spans="1:15">
      <c r="A53" s="38"/>
      <c r="B53" s="70">
        <f t="shared" si="7"/>
        <v>0</v>
      </c>
      <c r="C53" s="39"/>
      <c r="D53" s="40"/>
      <c r="E53" s="42"/>
      <c r="F53" s="70">
        <f t="shared" si="8"/>
        <v>0</v>
      </c>
      <c r="G53" s="67"/>
      <c r="H53" s="27" t="s">
        <v>84</v>
      </c>
      <c r="I53" s="20">
        <v>4412</v>
      </c>
      <c r="J53" s="55" t="s">
        <v>82</v>
      </c>
      <c r="K53" s="57"/>
      <c r="L53" s="58"/>
      <c r="M53" s="59"/>
      <c r="N53" s="59"/>
      <c r="O53" s="58"/>
    </row>
    <row r="54" s="10" customFormat="1" ht="18" customHeight="1" spans="1:15">
      <c r="A54" s="38"/>
      <c r="B54" s="70">
        <f t="shared" si="7"/>
        <v>0</v>
      </c>
      <c r="C54" s="39"/>
      <c r="D54" s="40"/>
      <c r="E54" s="42"/>
      <c r="F54" s="70">
        <f t="shared" si="8"/>
        <v>0</v>
      </c>
      <c r="G54" s="67"/>
      <c r="H54" s="27" t="s">
        <v>85</v>
      </c>
      <c r="I54" s="20">
        <v>-85090</v>
      </c>
      <c r="J54" s="55" t="s">
        <v>81</v>
      </c>
      <c r="K54" s="57" t="s">
        <v>86</v>
      </c>
      <c r="L54" s="58"/>
      <c r="M54" s="59"/>
      <c r="N54" s="59"/>
      <c r="O54" s="58"/>
    </row>
    <row r="55" s="10" customFormat="1" ht="18" customHeight="1" spans="1:15">
      <c r="A55" s="38"/>
      <c r="B55" s="70">
        <f t="shared" si="7"/>
        <v>0</v>
      </c>
      <c r="C55" s="39"/>
      <c r="D55" s="40"/>
      <c r="E55" s="42"/>
      <c r="F55" s="70">
        <f t="shared" si="8"/>
        <v>0</v>
      </c>
      <c r="G55" s="67"/>
      <c r="H55" s="27" t="s">
        <v>87</v>
      </c>
      <c r="I55" s="20">
        <v>85090</v>
      </c>
      <c r="J55" s="55" t="s">
        <v>82</v>
      </c>
      <c r="K55" s="57" t="s">
        <v>88</v>
      </c>
      <c r="L55" s="58"/>
      <c r="M55" s="59"/>
      <c r="N55" s="59"/>
      <c r="O55" s="58"/>
    </row>
    <row r="56" s="10" customFormat="1" ht="18" customHeight="1" spans="1:15">
      <c r="A56" s="38"/>
      <c r="B56" s="70">
        <f t="shared" si="7"/>
        <v>0</v>
      </c>
      <c r="C56" s="39"/>
      <c r="D56" s="40"/>
      <c r="E56" s="42"/>
      <c r="F56" s="70">
        <f t="shared" si="8"/>
        <v>0</v>
      </c>
      <c r="G56" s="67"/>
      <c r="H56" s="27" t="s">
        <v>87</v>
      </c>
      <c r="I56" s="20">
        <v>7716</v>
      </c>
      <c r="J56" s="55" t="s">
        <v>72</v>
      </c>
      <c r="K56" s="57" t="s">
        <v>74</v>
      </c>
      <c r="L56" s="58"/>
      <c r="M56" s="59"/>
      <c r="N56" s="59"/>
      <c r="O56" s="58"/>
    </row>
    <row r="57" s="10" customFormat="1" ht="18" customHeight="1" spans="1:15">
      <c r="A57" s="38"/>
      <c r="B57" s="70">
        <f t="shared" si="7"/>
        <v>0</v>
      </c>
      <c r="C57" s="39"/>
      <c r="D57" s="40"/>
      <c r="E57" s="42"/>
      <c r="F57" s="70">
        <f t="shared" si="8"/>
        <v>0</v>
      </c>
      <c r="G57" s="67"/>
      <c r="H57" s="27" t="s">
        <v>87</v>
      </c>
      <c r="I57" s="72">
        <v>500</v>
      </c>
      <c r="J57" s="55" t="s">
        <v>72</v>
      </c>
      <c r="K57" s="57" t="s">
        <v>89</v>
      </c>
      <c r="L57" s="58"/>
      <c r="M57" s="59"/>
      <c r="N57" s="59"/>
      <c r="O57" s="58"/>
    </row>
    <row r="58" s="10" customFormat="1" ht="18" customHeight="1" spans="1:15">
      <c r="A58" s="38"/>
      <c r="B58" s="70">
        <f t="shared" si="7"/>
        <v>0</v>
      </c>
      <c r="C58" s="39"/>
      <c r="D58" s="40"/>
      <c r="E58" s="42"/>
      <c r="F58" s="70">
        <f t="shared" si="8"/>
        <v>0</v>
      </c>
      <c r="G58" s="67"/>
      <c r="H58" s="27" t="s">
        <v>90</v>
      </c>
      <c r="I58" s="72">
        <v>-36734</v>
      </c>
      <c r="J58" s="55" t="s">
        <v>81</v>
      </c>
      <c r="K58" s="57" t="s">
        <v>91</v>
      </c>
      <c r="L58" s="58"/>
      <c r="M58" s="59"/>
      <c r="N58" s="59"/>
      <c r="O58" s="58"/>
    </row>
    <row r="59" s="10" customFormat="1" ht="18" customHeight="1" spans="1:15">
      <c r="A59" s="38"/>
      <c r="B59" s="70">
        <f t="shared" si="7"/>
        <v>0</v>
      </c>
      <c r="C59" s="39"/>
      <c r="D59" s="40"/>
      <c r="E59" s="42"/>
      <c r="F59" s="70">
        <f t="shared" si="8"/>
        <v>0</v>
      </c>
      <c r="G59" s="67"/>
      <c r="H59" s="27" t="s">
        <v>90</v>
      </c>
      <c r="I59" s="72">
        <v>-10938</v>
      </c>
      <c r="J59" s="55" t="s">
        <v>81</v>
      </c>
      <c r="K59" s="57" t="s">
        <v>92</v>
      </c>
      <c r="L59" s="58"/>
      <c r="M59" s="59"/>
      <c r="N59" s="59"/>
      <c r="O59" s="58"/>
    </row>
    <row r="60" s="10" customFormat="1" ht="18" customHeight="1" spans="1:15">
      <c r="A60" s="38"/>
      <c r="B60" s="70">
        <f t="shared" si="7"/>
        <v>0</v>
      </c>
      <c r="C60" s="39"/>
      <c r="D60" s="40"/>
      <c r="E60" s="42"/>
      <c r="F60" s="70">
        <f t="shared" si="8"/>
        <v>0</v>
      </c>
      <c r="G60" s="67"/>
      <c r="H60" s="27" t="s">
        <v>90</v>
      </c>
      <c r="I60" s="72">
        <v>-95594</v>
      </c>
      <c r="J60" s="55" t="s">
        <v>81</v>
      </c>
      <c r="K60" s="57" t="s">
        <v>93</v>
      </c>
      <c r="L60" s="58"/>
      <c r="M60" s="59"/>
      <c r="N60" s="59"/>
      <c r="O60" s="58"/>
    </row>
    <row r="61" s="10" customFormat="1" ht="18" customHeight="1" spans="1:15">
      <c r="A61" s="38"/>
      <c r="B61" s="70">
        <f t="shared" si="7"/>
        <v>0</v>
      </c>
      <c r="C61" s="39"/>
      <c r="D61" s="40"/>
      <c r="E61" s="42"/>
      <c r="F61" s="70">
        <f t="shared" si="8"/>
        <v>0</v>
      </c>
      <c r="G61" s="67"/>
      <c r="H61" s="27" t="s">
        <v>94</v>
      </c>
      <c r="I61" s="72">
        <v>95594</v>
      </c>
      <c r="J61" s="55" t="s">
        <v>82</v>
      </c>
      <c r="K61" s="57" t="s">
        <v>88</v>
      </c>
      <c r="L61" s="58"/>
      <c r="M61" s="59"/>
      <c r="N61" s="59"/>
      <c r="O61" s="58"/>
    </row>
    <row r="62" s="10" customFormat="1" ht="18" customHeight="1" spans="1:15">
      <c r="A62" s="38"/>
      <c r="B62" s="70">
        <f t="shared" si="7"/>
        <v>0</v>
      </c>
      <c r="C62" s="39"/>
      <c r="D62" s="40"/>
      <c r="E62" s="42"/>
      <c r="F62" s="70">
        <f t="shared" si="8"/>
        <v>0</v>
      </c>
      <c r="G62" s="67"/>
      <c r="H62" s="27" t="s">
        <v>94</v>
      </c>
      <c r="I62" s="72">
        <v>10938</v>
      </c>
      <c r="J62" s="55" t="s">
        <v>82</v>
      </c>
      <c r="K62" s="57" t="s">
        <v>92</v>
      </c>
      <c r="L62" s="58"/>
      <c r="M62" s="59"/>
      <c r="N62" s="59"/>
      <c r="O62" s="58"/>
    </row>
    <row r="63" s="10" customFormat="1" ht="18" customHeight="1" spans="1:15">
      <c r="A63" s="38"/>
      <c r="B63" s="70">
        <f t="shared" si="7"/>
        <v>0</v>
      </c>
      <c r="C63" s="39"/>
      <c r="D63" s="40"/>
      <c r="E63" s="42"/>
      <c r="F63" s="70">
        <f t="shared" si="8"/>
        <v>0</v>
      </c>
      <c r="G63" s="67"/>
      <c r="H63" s="27" t="s">
        <v>94</v>
      </c>
      <c r="I63" s="72">
        <v>9542</v>
      </c>
      <c r="J63" s="55" t="s">
        <v>72</v>
      </c>
      <c r="K63" s="57" t="s">
        <v>74</v>
      </c>
      <c r="L63" s="58"/>
      <c r="M63" s="59"/>
      <c r="N63" s="59"/>
      <c r="O63" s="58"/>
    </row>
    <row r="64" s="10" customFormat="1" ht="18" customHeight="1" spans="1:15">
      <c r="A64" s="38"/>
      <c r="B64" s="70">
        <f t="shared" si="7"/>
        <v>0</v>
      </c>
      <c r="C64" s="39"/>
      <c r="D64" s="40"/>
      <c r="E64" s="42"/>
      <c r="F64" s="70">
        <f t="shared" si="8"/>
        <v>0</v>
      </c>
      <c r="G64" s="67"/>
      <c r="H64" s="27" t="s">
        <v>94</v>
      </c>
      <c r="I64" s="72">
        <v>36734</v>
      </c>
      <c r="J64" s="55" t="s">
        <v>72</v>
      </c>
      <c r="K64" s="57" t="s">
        <v>91</v>
      </c>
      <c r="L64" s="58"/>
      <c r="M64" s="59"/>
      <c r="N64" s="59"/>
      <c r="O64" s="58"/>
    </row>
    <row r="65" s="10" customFormat="1" ht="18" customHeight="1" spans="1:15">
      <c r="A65" s="38"/>
      <c r="B65" s="70">
        <f t="shared" si="7"/>
        <v>0</v>
      </c>
      <c r="C65" s="39"/>
      <c r="D65" s="40"/>
      <c r="E65" s="42"/>
      <c r="F65" s="70">
        <f t="shared" si="8"/>
        <v>0</v>
      </c>
      <c r="G65" s="67"/>
      <c r="H65" s="27" t="s">
        <v>94</v>
      </c>
      <c r="I65" s="20">
        <v>5000</v>
      </c>
      <c r="J65" s="55" t="s">
        <v>72</v>
      </c>
      <c r="K65" s="57" t="s">
        <v>89</v>
      </c>
      <c r="L65" s="58"/>
      <c r="M65" s="59"/>
      <c r="N65" s="59"/>
      <c r="O65" s="58"/>
    </row>
    <row r="66" s="10" customFormat="1" ht="18" customHeight="1" spans="1:15">
      <c r="A66" s="38"/>
      <c r="B66" s="70">
        <f t="shared" si="7"/>
        <v>56430</v>
      </c>
      <c r="C66" s="39"/>
      <c r="D66" s="40"/>
      <c r="E66" s="42"/>
      <c r="F66" s="70">
        <f t="shared" si="8"/>
        <v>0</v>
      </c>
      <c r="G66" s="67">
        <f>31200+25230</f>
        <v>56430</v>
      </c>
      <c r="H66" s="27" t="s">
        <v>94</v>
      </c>
      <c r="I66" s="20">
        <f>G66</f>
        <v>56430</v>
      </c>
      <c r="J66" s="55" t="s">
        <v>72</v>
      </c>
      <c r="K66" s="57" t="s">
        <v>83</v>
      </c>
      <c r="L66" s="58"/>
      <c r="M66" s="59"/>
      <c r="N66" s="59"/>
      <c r="O66" s="58"/>
    </row>
    <row r="67" ht="18" customHeight="1" spans="1:15">
      <c r="A67" s="34" t="s">
        <v>23</v>
      </c>
      <c r="B67" s="68">
        <f>SUM(B17:B66)</f>
        <v>4686191.48</v>
      </c>
      <c r="C67" s="34"/>
      <c r="D67" s="43"/>
      <c r="E67" s="43"/>
      <c r="F67" s="69">
        <f>SUM(F17:F66)</f>
        <v>135015.12</v>
      </c>
      <c r="G67" s="73">
        <f>SUM(G17:G66)</f>
        <v>4821206.6</v>
      </c>
      <c r="H67" s="45"/>
      <c r="I67" s="34">
        <f>SUM(I17:I66)</f>
        <v>4834000</v>
      </c>
      <c r="J67" s="60"/>
      <c r="K67" s="43"/>
      <c r="L67" s="37"/>
      <c r="M67" s="55"/>
      <c r="N67" s="55"/>
      <c r="O67" s="37"/>
    </row>
    <row r="68" ht="18" customHeight="1" spans="1:14">
      <c r="A68" s="46" t="s">
        <v>95</v>
      </c>
      <c r="B68" s="46">
        <f>B14*0.96</f>
        <v>4257467.88990826</v>
      </c>
      <c r="C68" s="46"/>
      <c r="D68" s="48"/>
      <c r="E68" s="48"/>
      <c r="F68" s="47">
        <f>F14-F67</f>
        <v>175425.246972477</v>
      </c>
      <c r="G68" s="46">
        <f>G14-G67</f>
        <v>12793.4000000004</v>
      </c>
      <c r="H68" s="1" t="s">
        <v>96</v>
      </c>
      <c r="I68" s="34">
        <f>I14-I67</f>
        <v>0</v>
      </c>
      <c r="J68" s="15"/>
      <c r="K68" s="61"/>
      <c r="L68" s="15">
        <f>F76-L76-13987.16</f>
        <v>148019.423462385</v>
      </c>
      <c r="M68" s="62"/>
      <c r="N68" s="62"/>
    </row>
    <row r="69" ht="18" customHeight="1" spans="1:16">
      <c r="A69" s="46" t="s">
        <v>97</v>
      </c>
      <c r="B69" s="46">
        <f>B68-B67</f>
        <v>-428723.590091741</v>
      </c>
      <c r="C69" s="46"/>
      <c r="D69" s="48"/>
      <c r="E69" s="48"/>
      <c r="F69" s="47"/>
      <c r="G69" s="47"/>
      <c r="H69" s="49"/>
      <c r="I69" s="47">
        <f>I66+I52+I46</f>
        <v>161122.5</v>
      </c>
      <c r="J69" s="15"/>
      <c r="K69" s="61"/>
      <c r="M69" s="62"/>
      <c r="N69" s="62"/>
      <c r="P69" s="15" t="s">
        <v>98</v>
      </c>
    </row>
    <row r="70" ht="18" customHeight="1" spans="1:3">
      <c r="A70" s="11" t="s">
        <v>99</v>
      </c>
      <c r="C70" s="11"/>
    </row>
    <row r="71" ht="18" customHeight="1" spans="1:16">
      <c r="A71" s="1" t="s">
        <v>100</v>
      </c>
      <c r="B71" s="3" t="s">
        <v>101</v>
      </c>
      <c r="C71" s="37"/>
      <c r="D71" s="1" t="s">
        <v>100</v>
      </c>
      <c r="E71" s="2" t="s">
        <v>16</v>
      </c>
      <c r="F71" s="3" t="s">
        <v>101</v>
      </c>
      <c r="G71" s="12" t="s">
        <v>102</v>
      </c>
      <c r="H71" s="3" t="s">
        <v>103</v>
      </c>
      <c r="I71" s="12" t="s">
        <v>103</v>
      </c>
      <c r="K71" s="3" t="s">
        <v>104</v>
      </c>
      <c r="L71" s="3" t="s">
        <v>105</v>
      </c>
      <c r="M71" s="3" t="s">
        <v>106</v>
      </c>
      <c r="O71" s="37" t="s">
        <v>107</v>
      </c>
      <c r="P71" s="37" t="s">
        <v>108</v>
      </c>
    </row>
    <row r="72" ht="18" customHeight="1" spans="1:16">
      <c r="A72" s="37" t="s">
        <v>109</v>
      </c>
      <c r="B72" s="25">
        <f>(B68-B67)*0.25</f>
        <v>-107180.897522935</v>
      </c>
      <c r="C72" s="37"/>
      <c r="D72" s="4" t="s">
        <v>110</v>
      </c>
      <c r="E72" s="1" t="s">
        <v>111</v>
      </c>
      <c r="F72" s="36">
        <f>F14-F67</f>
        <v>175425.246972477</v>
      </c>
      <c r="G72" s="12">
        <f>F7</f>
        <v>33394.495412844</v>
      </c>
      <c r="H72" s="36">
        <f>F8</f>
        <v>33394.495412844</v>
      </c>
      <c r="I72" s="5">
        <f>-H72</f>
        <v>-33394.495412844</v>
      </c>
      <c r="K72" s="36">
        <v>0</v>
      </c>
      <c r="L72" s="63">
        <v>31336.084678899</v>
      </c>
      <c r="M72" s="36"/>
      <c r="O72" s="69">
        <f>F13</f>
        <v>0</v>
      </c>
      <c r="P72" s="69">
        <f>F14-F67</f>
        <v>175425.246972477</v>
      </c>
    </row>
    <row r="73" ht="18" customHeight="1" spans="1:16">
      <c r="A73" s="37" t="s">
        <v>112</v>
      </c>
      <c r="B73" s="50" t="s">
        <v>113</v>
      </c>
      <c r="C73" s="37"/>
      <c r="D73" s="6" t="s">
        <v>114</v>
      </c>
      <c r="E73" s="7">
        <v>0.07</v>
      </c>
      <c r="F73" s="28">
        <f>F72*E73</f>
        <v>12279.7672880734</v>
      </c>
      <c r="G73" s="12">
        <f>G72*E73</f>
        <v>2337.61467889908</v>
      </c>
      <c r="H73" s="28">
        <f>H72*E73</f>
        <v>2337.61467889908</v>
      </c>
      <c r="I73" s="8">
        <f>I72*E73</f>
        <v>-2337.61467889908</v>
      </c>
      <c r="K73" s="28">
        <v>0</v>
      </c>
      <c r="L73" s="30">
        <v>1566.80423394495</v>
      </c>
      <c r="M73" s="28"/>
      <c r="O73" s="20">
        <f>O72*E73</f>
        <v>0</v>
      </c>
      <c r="P73" s="20">
        <f>P72*E73</f>
        <v>12279.7672880734</v>
      </c>
    </row>
    <row r="74" ht="18" customHeight="1" spans="1:16">
      <c r="A74" s="37" t="s">
        <v>115</v>
      </c>
      <c r="B74" s="50" t="s">
        <v>113</v>
      </c>
      <c r="C74" s="37"/>
      <c r="D74" s="6" t="s">
        <v>116</v>
      </c>
      <c r="E74" s="7">
        <v>0.03</v>
      </c>
      <c r="F74" s="28">
        <f>F72*E74</f>
        <v>5262.75740917431</v>
      </c>
      <c r="G74" s="12">
        <f>G72*E74</f>
        <v>1001.83486238532</v>
      </c>
      <c r="H74" s="28">
        <f>H72*E74</f>
        <v>1001.83486238532</v>
      </c>
      <c r="I74" s="8">
        <f>I72*E74</f>
        <v>-1001.83486238532</v>
      </c>
      <c r="K74" s="28">
        <v>0</v>
      </c>
      <c r="L74" s="30">
        <v>940.08254036697</v>
      </c>
      <c r="M74" s="28"/>
      <c r="O74" s="20">
        <f>O72*E74</f>
        <v>0</v>
      </c>
      <c r="P74" s="20">
        <f>P72*E74</f>
        <v>5262.75740917431</v>
      </c>
    </row>
    <row r="75" ht="18" customHeight="1" spans="1:16">
      <c r="A75" s="37"/>
      <c r="B75" s="28"/>
      <c r="C75" s="37"/>
      <c r="D75" s="6" t="s">
        <v>117</v>
      </c>
      <c r="E75" s="7">
        <v>0.02</v>
      </c>
      <c r="F75" s="28">
        <f>F72*E75</f>
        <v>3508.50493944954</v>
      </c>
      <c r="G75" s="12">
        <f>G72*E75</f>
        <v>667.889908256881</v>
      </c>
      <c r="H75" s="28">
        <f>H72*E75</f>
        <v>667.889908256881</v>
      </c>
      <c r="I75" s="8">
        <f>I72*E75</f>
        <v>-667.889908256881</v>
      </c>
      <c r="K75" s="28">
        <v>0</v>
      </c>
      <c r="L75" s="30">
        <v>626.72169357798</v>
      </c>
      <c r="M75" s="28"/>
      <c r="O75" s="20">
        <f>O72*E75</f>
        <v>0</v>
      </c>
      <c r="P75" s="20">
        <f>P72*E75</f>
        <v>3508.50493944954</v>
      </c>
    </row>
    <row r="76" ht="18" customHeight="1" spans="1:16">
      <c r="A76" s="4" t="s">
        <v>118</v>
      </c>
      <c r="B76" s="33">
        <f t="shared" ref="B76:I76" si="9">SUM(B72:B75)</f>
        <v>-107180.897522935</v>
      </c>
      <c r="C76" s="37"/>
      <c r="D76" s="9" t="s">
        <v>118</v>
      </c>
      <c r="E76" s="4"/>
      <c r="F76" s="36">
        <f t="shared" si="9"/>
        <v>196476.276609174</v>
      </c>
      <c r="G76" s="12">
        <f t="shared" si="9"/>
        <v>37401.8348623853</v>
      </c>
      <c r="H76" s="36">
        <f t="shared" si="9"/>
        <v>37401.8348623853</v>
      </c>
      <c r="I76" s="5">
        <f t="shared" si="9"/>
        <v>-37401.8348623853</v>
      </c>
      <c r="K76" s="36">
        <v>0</v>
      </c>
      <c r="L76" s="63">
        <v>34469.6931467889</v>
      </c>
      <c r="M76" s="36"/>
      <c r="O76" s="69">
        <f>SUM(O72:O75)</f>
        <v>0</v>
      </c>
      <c r="P76" s="69">
        <f>SUM(P72:P75)</f>
        <v>196476.276609174</v>
      </c>
    </row>
    <row r="77" ht="18" customHeight="1" spans="3:17">
      <c r="C77" s="11"/>
      <c r="D77" s="2" t="s">
        <v>23</v>
      </c>
      <c r="E77" s="34"/>
      <c r="F77" s="35"/>
      <c r="K77" s="13"/>
      <c r="M77" s="13"/>
      <c r="O77" s="20"/>
      <c r="P77" s="34">
        <f>P76-34469.69-13987.16</f>
        <v>148019.426609174</v>
      </c>
      <c r="Q77" s="15" t="s">
        <v>119</v>
      </c>
    </row>
    <row r="78" ht="18" customHeight="1" spans="3:17">
      <c r="C78" s="11"/>
      <c r="D78" s="34" t="s">
        <v>109</v>
      </c>
      <c r="E78" s="43">
        <v>0.01</v>
      </c>
      <c r="F78" s="35">
        <f>B14*E78</f>
        <v>44348.623853211</v>
      </c>
      <c r="H78" s="35">
        <f>(B7+B8)*E78</f>
        <v>9541.28440366972</v>
      </c>
      <c r="K78" s="35">
        <f>B9*E78</f>
        <v>7715.59633027523</v>
      </c>
      <c r="M78" s="35">
        <f>G10*E78</f>
        <v>4880</v>
      </c>
      <c r="O78" s="34"/>
      <c r="P78" s="34">
        <f>G12*E78</f>
        <v>22670</v>
      </c>
      <c r="Q78" s="15" t="s">
        <v>120</v>
      </c>
    </row>
    <row r="79" ht="80.25" customHeight="1" spans="3:11">
      <c r="C79" s="11"/>
      <c r="G79" s="51" t="s">
        <v>121</v>
      </c>
      <c r="H79" s="3" t="s">
        <v>122</v>
      </c>
      <c r="K79" s="35"/>
    </row>
    <row r="80" ht="18" customHeight="1" spans="3:11">
      <c r="C80" s="11"/>
      <c r="F80" s="4" t="s">
        <v>110</v>
      </c>
      <c r="G80" s="1" t="s">
        <v>111</v>
      </c>
      <c r="H80" s="36">
        <f>D8</f>
        <v>9541.28440366972</v>
      </c>
      <c r="I80" s="36">
        <f>-H80</f>
        <v>-9541.28440366972</v>
      </c>
      <c r="K80" s="35">
        <f>B69*0.25</f>
        <v>-107180.897522935</v>
      </c>
    </row>
    <row r="81" ht="18" customHeight="1" spans="3:9">
      <c r="C81" s="11"/>
      <c r="F81" s="6" t="s">
        <v>114</v>
      </c>
      <c r="G81" s="7">
        <v>0.05</v>
      </c>
      <c r="H81" s="28">
        <f>H80*E73</f>
        <v>667.889908256881</v>
      </c>
      <c r="I81" s="28">
        <f>I80*G81</f>
        <v>-477.064220183486</v>
      </c>
    </row>
    <row r="82" spans="3:9">
      <c r="C82" s="11"/>
      <c r="F82" s="6" t="s">
        <v>116</v>
      </c>
      <c r="G82" s="7">
        <v>0.03</v>
      </c>
      <c r="H82" s="28">
        <f>H80*E74</f>
        <v>286.238532110092</v>
      </c>
      <c r="I82" s="28">
        <f>I80*G82</f>
        <v>-286.238532110092</v>
      </c>
    </row>
    <row r="83" spans="3:11">
      <c r="C83" s="11"/>
      <c r="F83" s="6" t="s">
        <v>117</v>
      </c>
      <c r="G83" s="7">
        <v>0.02</v>
      </c>
      <c r="H83" s="28">
        <f>H80*E75</f>
        <v>190.825688073395</v>
      </c>
      <c r="I83" s="28">
        <f>I80*G83</f>
        <v>-190.825688073395</v>
      </c>
      <c r="K83" s="15" t="s">
        <v>123</v>
      </c>
    </row>
    <row r="84" spans="3:9">
      <c r="C84" s="11"/>
      <c r="F84" s="9" t="s">
        <v>118</v>
      </c>
      <c r="G84" s="4"/>
      <c r="H84" s="36">
        <f>SUM(H80:H83)</f>
        <v>10686.2385321101</v>
      </c>
      <c r="I84" s="36">
        <f>SUM(I80:I83)</f>
        <v>-10495.4128440367</v>
      </c>
    </row>
    <row r="85" spans="3:9">
      <c r="C85" s="11"/>
      <c r="F85" s="6" t="s">
        <v>112</v>
      </c>
      <c r="G85" s="7">
        <v>0.0003</v>
      </c>
      <c r="H85" s="28">
        <f>G8*G85</f>
        <v>156</v>
      </c>
      <c r="I85" s="28">
        <f t="shared" ref="I85:I88" si="10">-H85</f>
        <v>-156</v>
      </c>
    </row>
    <row r="86" spans="3:9">
      <c r="C86" s="11"/>
      <c r="F86" s="6" t="s">
        <v>115</v>
      </c>
      <c r="G86" s="7">
        <v>0.0006</v>
      </c>
      <c r="H86" s="28">
        <f>B8*G86</f>
        <v>286.238532110092</v>
      </c>
      <c r="I86" s="28">
        <f t="shared" si="10"/>
        <v>-286.238532110092</v>
      </c>
    </row>
    <row r="87" spans="3:9">
      <c r="C87" s="11"/>
      <c r="F87" s="2" t="s">
        <v>118</v>
      </c>
      <c r="G87" s="34"/>
      <c r="H87" s="35">
        <f>H85+H86</f>
        <v>442.238532110092</v>
      </c>
      <c r="I87" s="35">
        <f t="shared" si="10"/>
        <v>-442.238532110092</v>
      </c>
    </row>
    <row r="88" spans="3:9">
      <c r="C88" s="11"/>
      <c r="F88" s="2" t="s">
        <v>23</v>
      </c>
      <c r="G88" s="34"/>
      <c r="H88" s="35">
        <f>H84+H87</f>
        <v>11128.4770642202</v>
      </c>
      <c r="I88" s="35">
        <f t="shared" si="10"/>
        <v>-11128.4770642202</v>
      </c>
    </row>
    <row r="89" spans="3:8">
      <c r="C89" s="11"/>
      <c r="G89" s="64" t="s">
        <v>124</v>
      </c>
      <c r="H89" s="46">
        <f>B69*0.25</f>
        <v>-107180.897522935</v>
      </c>
    </row>
    <row r="90" spans="3:3">
      <c r="C90" s="11"/>
    </row>
    <row r="91" spans="3:3">
      <c r="C91" s="11"/>
    </row>
    <row r="92" spans="3:3">
      <c r="C92" s="11"/>
    </row>
    <row r="93" spans="3:3">
      <c r="C93" s="11"/>
    </row>
    <row r="94" spans="3:3">
      <c r="C94" s="11"/>
    </row>
    <row r="95" spans="3:3">
      <c r="C95" s="11"/>
    </row>
    <row r="96" spans="3:3">
      <c r="C96" s="11"/>
    </row>
    <row r="97" spans="3:3">
      <c r="C97" s="11"/>
    </row>
  </sheetData>
  <autoFilter ref="A16:O8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"/>
  <sheetViews>
    <sheetView workbookViewId="0">
      <selection activeCell="H24" sqref="H24"/>
    </sheetView>
  </sheetViews>
  <sheetFormatPr defaultColWidth="9" defaultRowHeight="11.25"/>
  <cols>
    <col min="1" max="1" width="10.75" style="11" customWidth="1"/>
    <col min="2" max="2" width="13.125" style="12" customWidth="1"/>
    <col min="3" max="3" width="6" style="13" customWidth="1"/>
    <col min="4" max="4" width="13.375" style="13" customWidth="1"/>
    <col min="5" max="5" width="6" style="13" customWidth="1"/>
    <col min="6" max="6" width="13.125" style="12" customWidth="1"/>
    <col min="7" max="7" width="13.375" style="12" customWidth="1"/>
    <col min="8" max="8" width="17" style="13" customWidth="1"/>
    <col min="9" max="9" width="13.875" style="12" customWidth="1"/>
    <col min="10" max="10" width="6.125" style="14" customWidth="1"/>
    <col min="11" max="11" width="31.5" style="15" customWidth="1"/>
    <col min="12" max="12" width="18.375" style="15" customWidth="1"/>
    <col min="13" max="13" width="8.25" style="15" customWidth="1"/>
    <col min="14" max="14" width="5.625" style="15" customWidth="1"/>
    <col min="15" max="16384" width="9" style="15"/>
  </cols>
  <sheetData>
    <row r="1" ht="21.95" customHeight="1" spans="1:12">
      <c r="A1" s="16" t="s">
        <v>125</v>
      </c>
      <c r="B1" s="16"/>
      <c r="C1" s="16"/>
      <c r="D1" s="16"/>
      <c r="E1" s="16"/>
      <c r="F1" s="17"/>
      <c r="G1" s="17"/>
      <c r="H1" s="16"/>
      <c r="I1" s="17"/>
      <c r="J1" s="16"/>
      <c r="K1" s="26"/>
      <c r="L1" s="26"/>
    </row>
    <row r="2" ht="18" customHeight="1" spans="1:12">
      <c r="A2" s="18" t="s">
        <v>1</v>
      </c>
      <c r="B2" s="19">
        <v>43529</v>
      </c>
      <c r="C2" s="20" t="s">
        <v>2</v>
      </c>
      <c r="D2" s="21">
        <v>7540971.78</v>
      </c>
      <c r="E2" s="7" t="s">
        <v>3</v>
      </c>
      <c r="F2" s="22" t="s">
        <v>4</v>
      </c>
      <c r="G2" s="23" t="s">
        <v>5</v>
      </c>
      <c r="H2" s="24" t="s">
        <v>6</v>
      </c>
      <c r="I2" s="52"/>
      <c r="J2" s="53"/>
      <c r="K2" s="26"/>
      <c r="L2" s="26"/>
    </row>
    <row r="3" ht="18" customHeight="1" spans="1:12">
      <c r="A3" s="18" t="s">
        <v>7</v>
      </c>
      <c r="B3" s="25"/>
      <c r="C3" s="20" t="s">
        <v>8</v>
      </c>
      <c r="D3" s="20"/>
      <c r="H3" s="26"/>
      <c r="I3" s="54"/>
      <c r="J3" s="26"/>
      <c r="K3" s="26"/>
      <c r="L3" s="26"/>
    </row>
    <row r="4" ht="18" customHeight="1" spans="1:12">
      <c r="A4" s="11" t="s">
        <v>9</v>
      </c>
      <c r="H4" s="26"/>
      <c r="I4" s="54"/>
      <c r="J4" s="26"/>
      <c r="K4" s="26"/>
      <c r="L4" s="26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27">
        <v>43679</v>
      </c>
      <c r="B7" s="28">
        <f t="shared" ref="B7:B8" si="0">G7/(1+C7+E7)</f>
        <v>477064.220183486</v>
      </c>
      <c r="C7" s="29">
        <v>0.02</v>
      </c>
      <c r="D7" s="30">
        <f t="shared" ref="D7:D8" si="1">G7/(1+E7+C7)*C7</f>
        <v>9541.28440366972</v>
      </c>
      <c r="E7" s="29">
        <v>0.07</v>
      </c>
      <c r="F7" s="28">
        <f t="shared" ref="F7:F8" si="2">G7/(1+C7+E7)*E7</f>
        <v>33394.495412844</v>
      </c>
      <c r="G7" s="31">
        <v>520000</v>
      </c>
      <c r="H7" s="27">
        <v>43682</v>
      </c>
      <c r="I7" s="28">
        <v>520000</v>
      </c>
      <c r="J7" s="55" t="s">
        <v>21</v>
      </c>
    </row>
    <row r="8" ht="18" customHeight="1" spans="1:15">
      <c r="A8" s="27">
        <v>43705</v>
      </c>
      <c r="B8" s="28">
        <f t="shared" si="0"/>
        <v>477064.220183486</v>
      </c>
      <c r="C8" s="29">
        <v>0.02</v>
      </c>
      <c r="D8" s="30">
        <f t="shared" si="1"/>
        <v>9541.28440366972</v>
      </c>
      <c r="E8" s="32">
        <v>0.07</v>
      </c>
      <c r="F8" s="28">
        <f t="shared" si="2"/>
        <v>33394.495412844</v>
      </c>
      <c r="G8" s="31">
        <v>520000</v>
      </c>
      <c r="H8" s="27">
        <v>43718</v>
      </c>
      <c r="I8" s="28">
        <v>520000</v>
      </c>
      <c r="J8" s="55" t="s">
        <v>21</v>
      </c>
      <c r="O8" s="15">
        <f>I7*0.03</f>
        <v>15600</v>
      </c>
    </row>
    <row r="9" ht="18" customHeight="1" spans="1:15">
      <c r="A9" s="27">
        <v>43748</v>
      </c>
      <c r="B9" s="28">
        <f t="shared" ref="B9:B10" si="3">G9/(1+C9+E9)</f>
        <v>771559.633027523</v>
      </c>
      <c r="C9" s="29">
        <v>0.02</v>
      </c>
      <c r="D9" s="30">
        <f t="shared" ref="D9:D10" si="4">G9/(1+E9+C9)*C9</f>
        <v>15431.1926605505</v>
      </c>
      <c r="E9" s="32">
        <v>0.07</v>
      </c>
      <c r="F9" s="28">
        <f t="shared" ref="F9:F10" si="5">G9/(1+C9+E9)*E9</f>
        <v>54009.1743119266</v>
      </c>
      <c r="G9" s="31">
        <v>841000</v>
      </c>
      <c r="H9" s="27">
        <v>43770</v>
      </c>
      <c r="I9" s="28">
        <v>841000</v>
      </c>
      <c r="J9" s="55" t="s">
        <v>21</v>
      </c>
      <c r="O9" s="15">
        <f>O8*2</f>
        <v>31200</v>
      </c>
    </row>
    <row r="10" ht="18" customHeight="1" spans="1:10">
      <c r="A10" s="27">
        <v>43849</v>
      </c>
      <c r="B10" s="28">
        <f t="shared" si="3"/>
        <v>447706.422018349</v>
      </c>
      <c r="C10" s="29">
        <v>0.02</v>
      </c>
      <c r="D10" s="30">
        <f t="shared" si="4"/>
        <v>8954.12844036697</v>
      </c>
      <c r="E10" s="32">
        <v>0.07</v>
      </c>
      <c r="F10" s="28">
        <f t="shared" si="5"/>
        <v>31339.4495412844</v>
      </c>
      <c r="G10" s="31">
        <v>488000</v>
      </c>
      <c r="H10" s="27">
        <v>43850</v>
      </c>
      <c r="I10" s="28">
        <v>488000</v>
      </c>
      <c r="J10" s="55" t="s">
        <v>21</v>
      </c>
    </row>
    <row r="11" ht="18" customHeight="1" spans="1:10">
      <c r="A11" s="4" t="s">
        <v>23</v>
      </c>
      <c r="B11" s="33">
        <f>SUM(B7:B10)</f>
        <v>2173394.49541284</v>
      </c>
      <c r="C11" s="34"/>
      <c r="D11" s="35">
        <f t="shared" ref="D11:G11" si="6">SUM(D7:D10)</f>
        <v>43467.8899082569</v>
      </c>
      <c r="E11" s="34"/>
      <c r="F11" s="36">
        <f t="shared" si="6"/>
        <v>152137.614678899</v>
      </c>
      <c r="G11" s="35">
        <f t="shared" si="6"/>
        <v>2369000</v>
      </c>
      <c r="H11" s="37"/>
      <c r="I11" s="35">
        <f>SUM(I7:I10)</f>
        <v>2369000</v>
      </c>
      <c r="J11" s="37"/>
    </row>
    <row r="12" ht="18" customHeight="1" spans="1:12">
      <c r="A12" s="11" t="s">
        <v>24</v>
      </c>
      <c r="J12" s="13"/>
      <c r="K12" s="13"/>
      <c r="L12" s="14"/>
    </row>
    <row r="13" ht="18" customHeight="1" spans="1:15">
      <c r="A13" s="9" t="s">
        <v>25</v>
      </c>
      <c r="B13" s="3" t="s">
        <v>26</v>
      </c>
      <c r="C13" s="2" t="s">
        <v>27</v>
      </c>
      <c r="D13" s="2" t="s">
        <v>28</v>
      </c>
      <c r="E13" s="2" t="s">
        <v>16</v>
      </c>
      <c r="F13" s="3" t="s">
        <v>29</v>
      </c>
      <c r="G13" s="3" t="s">
        <v>14</v>
      </c>
      <c r="H13" s="2" t="s">
        <v>30</v>
      </c>
      <c r="I13" s="3" t="s">
        <v>31</v>
      </c>
      <c r="J13" s="2" t="s">
        <v>20</v>
      </c>
      <c r="K13" s="56" t="s">
        <v>32</v>
      </c>
      <c r="L13" s="1" t="s">
        <v>33</v>
      </c>
      <c r="M13" s="1" t="s">
        <v>34</v>
      </c>
      <c r="N13" s="1" t="s">
        <v>35</v>
      </c>
      <c r="O13" s="1" t="s">
        <v>36</v>
      </c>
    </row>
    <row r="14" s="10" customFormat="1" ht="18" customHeight="1" spans="1:15">
      <c r="A14" s="38">
        <v>43709</v>
      </c>
      <c r="B14" s="25">
        <f t="shared" ref="B14:B23" si="7">ROUND(G14/(1+E14),2)</f>
        <v>265525.75</v>
      </c>
      <c r="C14" s="39"/>
      <c r="D14" s="40" t="s">
        <v>37</v>
      </c>
      <c r="E14" s="41">
        <v>0.13</v>
      </c>
      <c r="F14" s="25">
        <f t="shared" ref="F14:F23" si="8">ROUND(G14/(1+E14)*E14,2)</f>
        <v>34518.35</v>
      </c>
      <c r="G14" s="31">
        <v>300044.1</v>
      </c>
      <c r="H14" s="27">
        <v>43724</v>
      </c>
      <c r="I14" s="28">
        <v>300000</v>
      </c>
      <c r="J14" s="55" t="s">
        <v>21</v>
      </c>
      <c r="K14" s="57" t="s">
        <v>38</v>
      </c>
      <c r="L14" s="58" t="s">
        <v>39</v>
      </c>
      <c r="M14" s="59"/>
      <c r="N14" s="59"/>
      <c r="O14" s="58"/>
    </row>
    <row r="15" s="10" customFormat="1" ht="18" customHeight="1" spans="1:15">
      <c r="A15" s="38">
        <v>43709</v>
      </c>
      <c r="B15" s="25">
        <f t="shared" si="7"/>
        <v>265486.73</v>
      </c>
      <c r="C15" s="39"/>
      <c r="D15" s="40" t="s">
        <v>37</v>
      </c>
      <c r="E15" s="41">
        <v>0.13</v>
      </c>
      <c r="F15" s="25">
        <f t="shared" si="8"/>
        <v>34513.27</v>
      </c>
      <c r="G15" s="31">
        <f>110500*2+79000</f>
        <v>300000</v>
      </c>
      <c r="H15" s="27">
        <v>43724</v>
      </c>
      <c r="I15" s="28">
        <v>300000</v>
      </c>
      <c r="J15" s="55" t="s">
        <v>21</v>
      </c>
      <c r="K15" s="57" t="s">
        <v>40</v>
      </c>
      <c r="L15" s="58" t="s">
        <v>41</v>
      </c>
      <c r="M15" s="59"/>
      <c r="N15" s="59"/>
      <c r="O15" s="58"/>
    </row>
    <row r="16" s="10" customFormat="1" ht="18" customHeight="1" spans="1:15">
      <c r="A16" s="38">
        <v>43709</v>
      </c>
      <c r="B16" s="25">
        <f t="shared" si="7"/>
        <v>100000</v>
      </c>
      <c r="C16" s="39"/>
      <c r="D16" s="40" t="s">
        <v>42</v>
      </c>
      <c r="E16" s="42"/>
      <c r="F16" s="25">
        <f t="shared" si="8"/>
        <v>0</v>
      </c>
      <c r="G16" s="31">
        <v>100000</v>
      </c>
      <c r="H16" s="27">
        <v>43738</v>
      </c>
      <c r="I16" s="28">
        <v>100000</v>
      </c>
      <c r="J16" s="55" t="s">
        <v>43</v>
      </c>
      <c r="K16" s="57" t="s">
        <v>44</v>
      </c>
      <c r="L16" s="58" t="s">
        <v>45</v>
      </c>
      <c r="M16" s="59"/>
      <c r="N16" s="59"/>
      <c r="O16" s="58"/>
    </row>
    <row r="17" s="10" customFormat="1" ht="18" customHeight="1" spans="1:15">
      <c r="A17" s="38">
        <v>43709</v>
      </c>
      <c r="B17" s="25">
        <f t="shared" si="7"/>
        <v>82400</v>
      </c>
      <c r="C17" s="39"/>
      <c r="D17" s="40" t="s">
        <v>42</v>
      </c>
      <c r="E17" s="42"/>
      <c r="F17" s="25">
        <f t="shared" si="8"/>
        <v>0</v>
      </c>
      <c r="G17" s="31">
        <v>82400</v>
      </c>
      <c r="H17" s="27">
        <v>43738</v>
      </c>
      <c r="I17" s="28">
        <v>82400</v>
      </c>
      <c r="J17" s="55" t="s">
        <v>43</v>
      </c>
      <c r="K17" s="57" t="s">
        <v>46</v>
      </c>
      <c r="L17" s="58" t="s">
        <v>45</v>
      </c>
      <c r="M17" s="59"/>
      <c r="N17" s="59"/>
      <c r="O17" s="58"/>
    </row>
    <row r="18" s="10" customFormat="1" ht="18" customHeight="1" spans="1:15">
      <c r="A18" s="38">
        <v>43709</v>
      </c>
      <c r="B18" s="25">
        <f t="shared" si="7"/>
        <v>100000</v>
      </c>
      <c r="C18" s="39"/>
      <c r="D18" s="40" t="s">
        <v>42</v>
      </c>
      <c r="E18" s="42"/>
      <c r="F18" s="25">
        <f t="shared" si="8"/>
        <v>0</v>
      </c>
      <c r="G18" s="31">
        <v>100000</v>
      </c>
      <c r="H18" s="27">
        <v>43738</v>
      </c>
      <c r="I18" s="28">
        <v>100000</v>
      </c>
      <c r="J18" s="55" t="s">
        <v>43</v>
      </c>
      <c r="K18" s="57" t="s">
        <v>47</v>
      </c>
      <c r="L18" s="58" t="s">
        <v>45</v>
      </c>
      <c r="M18" s="59"/>
      <c r="N18" s="59"/>
      <c r="O18" s="58"/>
    </row>
    <row r="19" s="10" customFormat="1" ht="18" customHeight="1" spans="1:15">
      <c r="A19" s="38">
        <v>43709</v>
      </c>
      <c r="B19" s="25">
        <f t="shared" si="7"/>
        <v>100000</v>
      </c>
      <c r="C19" s="39"/>
      <c r="D19" s="40" t="s">
        <v>42</v>
      </c>
      <c r="E19" s="42"/>
      <c r="F19" s="25">
        <f t="shared" si="8"/>
        <v>0</v>
      </c>
      <c r="G19" s="31">
        <v>100000</v>
      </c>
      <c r="H19" s="27">
        <v>43738</v>
      </c>
      <c r="I19" s="28">
        <v>100000</v>
      </c>
      <c r="J19" s="55" t="s">
        <v>43</v>
      </c>
      <c r="K19" s="57" t="s">
        <v>48</v>
      </c>
      <c r="L19" s="58" t="s">
        <v>45</v>
      </c>
      <c r="M19" s="59"/>
      <c r="N19" s="59"/>
      <c r="O19" s="58"/>
    </row>
    <row r="20" s="10" customFormat="1" ht="18" customHeight="1" spans="1:15">
      <c r="A20" s="38">
        <v>43739</v>
      </c>
      <c r="B20" s="25">
        <f t="shared" si="7"/>
        <v>398230.09</v>
      </c>
      <c r="C20" s="39"/>
      <c r="D20" s="40" t="s">
        <v>37</v>
      </c>
      <c r="E20" s="41">
        <v>0.13</v>
      </c>
      <c r="F20" s="25">
        <f t="shared" si="8"/>
        <v>51769.91</v>
      </c>
      <c r="G20" s="31">
        <v>450000</v>
      </c>
      <c r="H20" s="27">
        <v>43776</v>
      </c>
      <c r="I20" s="28">
        <v>450000</v>
      </c>
      <c r="J20" s="55" t="s">
        <v>21</v>
      </c>
      <c r="K20" s="57" t="s">
        <v>49</v>
      </c>
      <c r="L20" s="58" t="s">
        <v>50</v>
      </c>
      <c r="M20" s="59"/>
      <c r="N20" s="59"/>
      <c r="O20" s="58"/>
    </row>
    <row r="21" s="10" customFormat="1" ht="18" customHeight="1" spans="1:15">
      <c r="A21" s="38">
        <v>43770</v>
      </c>
      <c r="B21" s="25">
        <f t="shared" si="7"/>
        <v>65000</v>
      </c>
      <c r="C21" s="39"/>
      <c r="D21" s="40" t="s">
        <v>42</v>
      </c>
      <c r="E21" s="42"/>
      <c r="F21" s="25">
        <f t="shared" si="8"/>
        <v>0</v>
      </c>
      <c r="G21" s="31">
        <v>65000</v>
      </c>
      <c r="H21" s="27">
        <v>43787</v>
      </c>
      <c r="I21" s="28">
        <v>65000</v>
      </c>
      <c r="J21" s="55" t="s">
        <v>43</v>
      </c>
      <c r="K21" s="57" t="s">
        <v>48</v>
      </c>
      <c r="L21" s="58" t="s">
        <v>45</v>
      </c>
      <c r="M21" s="59"/>
      <c r="N21" s="59"/>
      <c r="O21" s="58"/>
    </row>
    <row r="22" s="10" customFormat="1" ht="18" customHeight="1" spans="1:15">
      <c r="A22" s="38">
        <v>43770</v>
      </c>
      <c r="B22" s="25">
        <f t="shared" si="7"/>
        <v>300000</v>
      </c>
      <c r="C22" s="39"/>
      <c r="D22" s="40" t="s">
        <v>42</v>
      </c>
      <c r="E22" s="42"/>
      <c r="F22" s="25">
        <f t="shared" si="8"/>
        <v>0</v>
      </c>
      <c r="G22" s="31">
        <v>300000</v>
      </c>
      <c r="H22" s="27">
        <v>43781</v>
      </c>
      <c r="I22" s="28">
        <v>300000</v>
      </c>
      <c r="J22" s="55" t="s">
        <v>43</v>
      </c>
      <c r="K22" s="57" t="s">
        <v>51</v>
      </c>
      <c r="L22" s="58" t="s">
        <v>52</v>
      </c>
      <c r="M22" s="59"/>
      <c r="N22" s="59"/>
      <c r="O22" s="58"/>
    </row>
    <row r="23" s="10" customFormat="1" ht="18" customHeight="1" spans="1:15">
      <c r="A23" s="38">
        <v>43831</v>
      </c>
      <c r="B23" s="25">
        <f t="shared" si="7"/>
        <v>473786.41</v>
      </c>
      <c r="C23" s="39"/>
      <c r="D23" s="40" t="s">
        <v>37</v>
      </c>
      <c r="E23" s="41">
        <v>0.03</v>
      </c>
      <c r="F23" s="25">
        <f t="shared" si="8"/>
        <v>14213.59</v>
      </c>
      <c r="G23" s="31">
        <v>488000</v>
      </c>
      <c r="H23" s="27">
        <v>43853</v>
      </c>
      <c r="I23" s="28">
        <v>472792</v>
      </c>
      <c r="J23" s="55" t="s">
        <v>21</v>
      </c>
      <c r="K23" s="57" t="s">
        <v>53</v>
      </c>
      <c r="L23" s="58" t="s">
        <v>54</v>
      </c>
      <c r="M23" s="59"/>
      <c r="N23" s="59"/>
      <c r="O23" s="58"/>
    </row>
    <row r="24" s="10" customFormat="1" ht="18" customHeight="1" spans="1:15">
      <c r="A24" s="38"/>
      <c r="B24" s="25">
        <f t="shared" ref="B24:B37" si="9">ROUND(G24/(1+E24),2)</f>
        <v>0</v>
      </c>
      <c r="C24" s="39"/>
      <c r="D24" s="40"/>
      <c r="E24" s="41"/>
      <c r="F24" s="25">
        <f t="shared" ref="F24:F37" si="10">ROUND(G24/(1+E24)*E24,2)</f>
        <v>0</v>
      </c>
      <c r="G24" s="31"/>
      <c r="H24" s="27"/>
      <c r="I24" s="28"/>
      <c r="J24" s="55"/>
      <c r="K24" s="57"/>
      <c r="L24" s="58"/>
      <c r="M24" s="59"/>
      <c r="N24" s="59"/>
      <c r="O24" s="58"/>
    </row>
    <row r="25" s="10" customFormat="1" ht="18" customHeight="1" spans="1:15">
      <c r="A25" s="38"/>
      <c r="B25" s="25">
        <f t="shared" si="9"/>
        <v>0</v>
      </c>
      <c r="C25" s="39"/>
      <c r="D25" s="40"/>
      <c r="E25" s="41"/>
      <c r="F25" s="25">
        <f t="shared" si="10"/>
        <v>0</v>
      </c>
      <c r="G25" s="31"/>
      <c r="H25" s="27"/>
      <c r="I25" s="28"/>
      <c r="J25" s="55"/>
      <c r="K25" s="57"/>
      <c r="L25" s="58"/>
      <c r="M25" s="59"/>
      <c r="N25" s="59"/>
      <c r="O25" s="58"/>
    </row>
    <row r="26" s="10" customFormat="1" ht="18" customHeight="1" spans="1:15">
      <c r="A26" s="38"/>
      <c r="B26" s="25">
        <f t="shared" si="9"/>
        <v>0</v>
      </c>
      <c r="C26" s="39"/>
      <c r="D26" s="40"/>
      <c r="E26" s="41"/>
      <c r="F26" s="25">
        <f t="shared" si="10"/>
        <v>0</v>
      </c>
      <c r="G26" s="31"/>
      <c r="H26" s="27"/>
      <c r="I26" s="28"/>
      <c r="J26" s="55"/>
      <c r="K26" s="57"/>
      <c r="L26" s="58"/>
      <c r="M26" s="59"/>
      <c r="N26" s="59"/>
      <c r="O26" s="58"/>
    </row>
    <row r="27" s="10" customFormat="1" ht="18" customHeight="1" spans="1:15">
      <c r="A27" s="38"/>
      <c r="B27" s="25">
        <f t="shared" si="9"/>
        <v>0</v>
      </c>
      <c r="C27" s="39"/>
      <c r="D27" s="40"/>
      <c r="E27" s="41"/>
      <c r="F27" s="25">
        <f t="shared" si="10"/>
        <v>0</v>
      </c>
      <c r="G27" s="31"/>
      <c r="H27" s="27" t="s">
        <v>80</v>
      </c>
      <c r="I27" s="28">
        <v>100</v>
      </c>
      <c r="J27" s="55" t="s">
        <v>72</v>
      </c>
      <c r="K27" s="57" t="s">
        <v>73</v>
      </c>
      <c r="L27" s="58"/>
      <c r="M27" s="59"/>
      <c r="N27" s="59"/>
      <c r="O27" s="58"/>
    </row>
    <row r="28" s="10" customFormat="1" ht="18" customHeight="1" spans="1:15">
      <c r="A28" s="38"/>
      <c r="B28" s="25">
        <f t="shared" si="9"/>
        <v>0</v>
      </c>
      <c r="C28" s="39"/>
      <c r="D28" s="40"/>
      <c r="E28" s="41"/>
      <c r="F28" s="25">
        <f t="shared" si="10"/>
        <v>0</v>
      </c>
      <c r="G28" s="31"/>
      <c r="H28" s="27" t="s">
        <v>80</v>
      </c>
      <c r="I28" s="28">
        <v>-4412</v>
      </c>
      <c r="J28" s="55" t="s">
        <v>81</v>
      </c>
      <c r="K28" s="57" t="s">
        <v>82</v>
      </c>
      <c r="L28" s="58"/>
      <c r="M28" s="59"/>
      <c r="N28" s="59"/>
      <c r="O28" s="58"/>
    </row>
    <row r="29" s="10" customFormat="1" ht="18" customHeight="1" spans="1:15">
      <c r="A29" s="38"/>
      <c r="B29" s="25">
        <f t="shared" si="9"/>
        <v>0</v>
      </c>
      <c r="C29" s="39"/>
      <c r="D29" s="40"/>
      <c r="E29" s="41"/>
      <c r="F29" s="25">
        <f t="shared" si="10"/>
        <v>0</v>
      </c>
      <c r="G29" s="31"/>
      <c r="H29" s="27" t="s">
        <v>80</v>
      </c>
      <c r="I29" s="28">
        <v>4880</v>
      </c>
      <c r="J29" s="55" t="s">
        <v>72</v>
      </c>
      <c r="K29" s="57" t="s">
        <v>74</v>
      </c>
      <c r="L29" s="58"/>
      <c r="M29" s="59"/>
      <c r="N29" s="59"/>
      <c r="O29" s="58"/>
    </row>
    <row r="30" s="10" customFormat="1" ht="18" customHeight="1" spans="1:15">
      <c r="A30" s="38"/>
      <c r="B30" s="25">
        <f t="shared" si="9"/>
        <v>14640</v>
      </c>
      <c r="C30" s="39"/>
      <c r="D30" s="40"/>
      <c r="E30" s="42"/>
      <c r="F30" s="25">
        <f t="shared" si="10"/>
        <v>0</v>
      </c>
      <c r="G30" s="31">
        <f>14640</f>
        <v>14640</v>
      </c>
      <c r="H30" s="27" t="s">
        <v>80</v>
      </c>
      <c r="I30" s="28">
        <f>G30</f>
        <v>14640</v>
      </c>
      <c r="J30" s="55" t="s">
        <v>72</v>
      </c>
      <c r="K30" s="57" t="s">
        <v>83</v>
      </c>
      <c r="L30" s="58"/>
      <c r="M30" s="59"/>
      <c r="N30" s="59"/>
      <c r="O30" s="58"/>
    </row>
    <row r="31" s="10" customFormat="1" ht="18" customHeight="1" spans="1:15">
      <c r="A31" s="38"/>
      <c r="B31" s="25">
        <f t="shared" si="9"/>
        <v>0</v>
      </c>
      <c r="C31" s="39"/>
      <c r="D31" s="40"/>
      <c r="E31" s="42"/>
      <c r="F31" s="25">
        <f t="shared" si="10"/>
        <v>0</v>
      </c>
      <c r="G31" s="31"/>
      <c r="H31" s="27" t="s">
        <v>84</v>
      </c>
      <c r="I31" s="28">
        <v>4412</v>
      </c>
      <c r="J31" s="55" t="s">
        <v>82</v>
      </c>
      <c r="K31" s="57"/>
      <c r="L31" s="58"/>
      <c r="M31" s="59"/>
      <c r="N31" s="59"/>
      <c r="O31" s="58"/>
    </row>
    <row r="32" s="10" customFormat="1" ht="18" customHeight="1" spans="1:15">
      <c r="A32" s="38"/>
      <c r="B32" s="25">
        <f t="shared" si="9"/>
        <v>0</v>
      </c>
      <c r="C32" s="39"/>
      <c r="D32" s="40"/>
      <c r="E32" s="42"/>
      <c r="F32" s="25">
        <f t="shared" si="10"/>
        <v>0</v>
      </c>
      <c r="G32" s="31"/>
      <c r="H32" s="27" t="s">
        <v>85</v>
      </c>
      <c r="I32" s="28">
        <v>-85090</v>
      </c>
      <c r="J32" s="55" t="s">
        <v>81</v>
      </c>
      <c r="K32" s="57" t="s">
        <v>86</v>
      </c>
      <c r="L32" s="58"/>
      <c r="M32" s="59"/>
      <c r="N32" s="59"/>
      <c r="O32" s="58"/>
    </row>
    <row r="33" s="10" customFormat="1" ht="18" customHeight="1" spans="1:15">
      <c r="A33" s="38"/>
      <c r="B33" s="25">
        <f t="shared" si="9"/>
        <v>0</v>
      </c>
      <c r="C33" s="39"/>
      <c r="D33" s="40"/>
      <c r="E33" s="42"/>
      <c r="F33" s="25">
        <f t="shared" si="10"/>
        <v>0</v>
      </c>
      <c r="G33" s="31"/>
      <c r="H33" s="27" t="s">
        <v>87</v>
      </c>
      <c r="I33" s="28">
        <v>85090</v>
      </c>
      <c r="J33" s="55" t="s">
        <v>82</v>
      </c>
      <c r="K33" s="57" t="s">
        <v>88</v>
      </c>
      <c r="L33" s="58"/>
      <c r="M33" s="59"/>
      <c r="N33" s="59"/>
      <c r="O33" s="58"/>
    </row>
    <row r="34" s="10" customFormat="1" ht="18" customHeight="1" spans="1:15">
      <c r="A34" s="38"/>
      <c r="B34" s="25">
        <f t="shared" si="9"/>
        <v>0</v>
      </c>
      <c r="C34" s="39"/>
      <c r="D34" s="40"/>
      <c r="E34" s="42"/>
      <c r="F34" s="25">
        <f t="shared" si="10"/>
        <v>0</v>
      </c>
      <c r="G34" s="31"/>
      <c r="H34" s="27" t="s">
        <v>87</v>
      </c>
      <c r="I34" s="28">
        <v>7716</v>
      </c>
      <c r="J34" s="55" t="s">
        <v>72</v>
      </c>
      <c r="K34" s="57" t="s">
        <v>74</v>
      </c>
      <c r="L34" s="58"/>
      <c r="M34" s="59"/>
      <c r="N34" s="59"/>
      <c r="O34" s="58"/>
    </row>
    <row r="35" s="10" customFormat="1" ht="18" customHeight="1" spans="1:15">
      <c r="A35" s="38"/>
      <c r="B35" s="25">
        <f t="shared" si="9"/>
        <v>0</v>
      </c>
      <c r="C35" s="39"/>
      <c r="D35" s="40"/>
      <c r="E35" s="42"/>
      <c r="F35" s="25">
        <f t="shared" si="10"/>
        <v>0</v>
      </c>
      <c r="G35" s="31"/>
      <c r="H35" s="27" t="s">
        <v>87</v>
      </c>
      <c r="I35" s="28">
        <v>500</v>
      </c>
      <c r="J35" s="55" t="s">
        <v>72</v>
      </c>
      <c r="K35" s="57" t="s">
        <v>89</v>
      </c>
      <c r="L35" s="58"/>
      <c r="M35" s="59"/>
      <c r="N35" s="59"/>
      <c r="O35" s="58"/>
    </row>
    <row r="36" s="10" customFormat="1" ht="18" customHeight="1" spans="1:15">
      <c r="A36" s="38"/>
      <c r="B36" s="25">
        <f t="shared" si="9"/>
        <v>0</v>
      </c>
      <c r="C36" s="39"/>
      <c r="D36" s="40"/>
      <c r="E36" s="42"/>
      <c r="F36" s="25">
        <f t="shared" si="10"/>
        <v>0</v>
      </c>
      <c r="G36" s="31"/>
      <c r="H36" s="27" t="s">
        <v>90</v>
      </c>
      <c r="I36" s="28">
        <v>-36734</v>
      </c>
      <c r="J36" s="55" t="s">
        <v>81</v>
      </c>
      <c r="K36" s="57" t="s">
        <v>91</v>
      </c>
      <c r="L36" s="58"/>
      <c r="M36" s="59"/>
      <c r="N36" s="59"/>
      <c r="O36" s="58"/>
    </row>
    <row r="37" s="10" customFormat="1" ht="18" customHeight="1" spans="1:15">
      <c r="A37" s="38"/>
      <c r="B37" s="25">
        <f t="shared" si="9"/>
        <v>0</v>
      </c>
      <c r="C37" s="39"/>
      <c r="D37" s="40"/>
      <c r="E37" s="42"/>
      <c r="F37" s="25">
        <f t="shared" si="10"/>
        <v>0</v>
      </c>
      <c r="G37" s="31"/>
      <c r="H37" s="27" t="s">
        <v>90</v>
      </c>
      <c r="I37" s="28">
        <v>-10938</v>
      </c>
      <c r="J37" s="55" t="s">
        <v>81</v>
      </c>
      <c r="K37" s="57" t="s">
        <v>92</v>
      </c>
      <c r="L37" s="58"/>
      <c r="M37" s="59"/>
      <c r="N37" s="59"/>
      <c r="O37" s="58"/>
    </row>
    <row r="38" s="10" customFormat="1" ht="18" customHeight="1" spans="1:15">
      <c r="A38" s="38"/>
      <c r="B38" s="25">
        <f t="shared" ref="B36:B42" si="11">ROUND(G38/(1+E38),2)</f>
        <v>0</v>
      </c>
      <c r="C38" s="39"/>
      <c r="D38" s="40"/>
      <c r="E38" s="42"/>
      <c r="F38" s="25">
        <f t="shared" ref="F36:F42" si="12">ROUND(G38/(1+E38)*E38,2)</f>
        <v>0</v>
      </c>
      <c r="G38" s="31"/>
      <c r="H38" s="27" t="s">
        <v>90</v>
      </c>
      <c r="I38" s="28">
        <v>-95594</v>
      </c>
      <c r="J38" s="55" t="s">
        <v>81</v>
      </c>
      <c r="K38" s="57" t="s">
        <v>93</v>
      </c>
      <c r="L38" s="58"/>
      <c r="M38" s="59"/>
      <c r="N38" s="59"/>
      <c r="O38" s="58"/>
    </row>
    <row r="39" s="10" customFormat="1" ht="18" customHeight="1" spans="1:15">
      <c r="A39" s="38"/>
      <c r="B39" s="25">
        <f t="shared" si="11"/>
        <v>0</v>
      </c>
      <c r="C39" s="39"/>
      <c r="D39" s="40"/>
      <c r="E39" s="42"/>
      <c r="F39" s="25">
        <f t="shared" si="12"/>
        <v>0</v>
      </c>
      <c r="G39" s="31"/>
      <c r="H39" s="27" t="s">
        <v>94</v>
      </c>
      <c r="I39" s="28">
        <v>95594</v>
      </c>
      <c r="J39" s="55" t="s">
        <v>82</v>
      </c>
      <c r="K39" s="57" t="s">
        <v>88</v>
      </c>
      <c r="L39" s="58"/>
      <c r="M39" s="59"/>
      <c r="N39" s="59"/>
      <c r="O39" s="58"/>
    </row>
    <row r="40" s="10" customFormat="1" ht="18" customHeight="1" spans="1:15">
      <c r="A40" s="38"/>
      <c r="B40" s="25">
        <f t="shared" si="11"/>
        <v>0</v>
      </c>
      <c r="C40" s="39"/>
      <c r="D40" s="40"/>
      <c r="E40" s="42"/>
      <c r="F40" s="25">
        <f t="shared" si="12"/>
        <v>0</v>
      </c>
      <c r="G40" s="31"/>
      <c r="H40" s="27" t="s">
        <v>94</v>
      </c>
      <c r="I40" s="28">
        <v>10938</v>
      </c>
      <c r="J40" s="55" t="s">
        <v>82</v>
      </c>
      <c r="K40" s="57" t="s">
        <v>92</v>
      </c>
      <c r="L40" s="58"/>
      <c r="M40" s="59"/>
      <c r="N40" s="59"/>
      <c r="O40" s="58"/>
    </row>
    <row r="41" s="10" customFormat="1" ht="18" customHeight="1" spans="1:15">
      <c r="A41" s="38"/>
      <c r="B41" s="25">
        <f t="shared" si="11"/>
        <v>0</v>
      </c>
      <c r="C41" s="39"/>
      <c r="D41" s="40"/>
      <c r="E41" s="42"/>
      <c r="F41" s="25">
        <f t="shared" si="12"/>
        <v>0</v>
      </c>
      <c r="G41" s="31"/>
      <c r="H41" s="27" t="s">
        <v>94</v>
      </c>
      <c r="I41" s="28">
        <v>9542</v>
      </c>
      <c r="J41" s="55" t="s">
        <v>72</v>
      </c>
      <c r="K41" s="57" t="s">
        <v>74</v>
      </c>
      <c r="L41" s="58"/>
      <c r="M41" s="59"/>
      <c r="N41" s="59"/>
      <c r="O41" s="58"/>
    </row>
    <row r="42" s="10" customFormat="1" ht="18" customHeight="1" spans="1:15">
      <c r="A42" s="38"/>
      <c r="B42" s="25">
        <f t="shared" si="11"/>
        <v>0</v>
      </c>
      <c r="C42" s="39"/>
      <c r="D42" s="40"/>
      <c r="E42" s="42"/>
      <c r="F42" s="25">
        <f t="shared" si="12"/>
        <v>0</v>
      </c>
      <c r="G42" s="31"/>
      <c r="H42" s="27" t="s">
        <v>94</v>
      </c>
      <c r="I42" s="28">
        <v>36734</v>
      </c>
      <c r="J42" s="55" t="s">
        <v>72</v>
      </c>
      <c r="K42" s="57" t="s">
        <v>91</v>
      </c>
      <c r="L42" s="58"/>
      <c r="M42" s="59"/>
      <c r="N42" s="59"/>
      <c r="O42" s="58"/>
    </row>
    <row r="43" s="10" customFormat="1" ht="18" customHeight="1" spans="1:15">
      <c r="A43" s="38"/>
      <c r="B43" s="25">
        <f t="shared" ref="B43:B46" si="13">ROUND(G43/(1+E43),2)</f>
        <v>0</v>
      </c>
      <c r="C43" s="39"/>
      <c r="D43" s="40"/>
      <c r="E43" s="42"/>
      <c r="F43" s="25">
        <f t="shared" ref="F43:F46" si="14">ROUND(G43/(1+E43)*E43,2)</f>
        <v>0</v>
      </c>
      <c r="G43" s="31"/>
      <c r="H43" s="27" t="s">
        <v>94</v>
      </c>
      <c r="I43" s="28">
        <v>5000</v>
      </c>
      <c r="J43" s="55" t="s">
        <v>72</v>
      </c>
      <c r="K43" s="57" t="s">
        <v>89</v>
      </c>
      <c r="L43" s="58"/>
      <c r="M43" s="59"/>
      <c r="N43" s="59"/>
      <c r="O43" s="58"/>
    </row>
    <row r="44" s="10" customFormat="1" ht="18" customHeight="1" spans="1:15">
      <c r="A44" s="38"/>
      <c r="B44" s="25">
        <f t="shared" si="13"/>
        <v>56430</v>
      </c>
      <c r="C44" s="39"/>
      <c r="D44" s="40"/>
      <c r="E44" s="42"/>
      <c r="F44" s="25">
        <f t="shared" si="14"/>
        <v>0</v>
      </c>
      <c r="G44" s="31">
        <f>31200+25230</f>
        <v>56430</v>
      </c>
      <c r="H44" s="27" t="s">
        <v>94</v>
      </c>
      <c r="I44" s="28">
        <f>G44</f>
        <v>56430</v>
      </c>
      <c r="J44" s="55" t="s">
        <v>72</v>
      </c>
      <c r="K44" s="57" t="s">
        <v>83</v>
      </c>
      <c r="L44" s="58"/>
      <c r="M44" s="59"/>
      <c r="N44" s="59"/>
      <c r="O44" s="58"/>
    </row>
    <row r="45" s="10" customFormat="1" ht="18" customHeight="1" spans="1:15">
      <c r="A45" s="38"/>
      <c r="B45" s="25">
        <f t="shared" si="13"/>
        <v>0</v>
      </c>
      <c r="C45" s="39"/>
      <c r="D45" s="40"/>
      <c r="E45" s="42"/>
      <c r="F45" s="25">
        <f t="shared" si="14"/>
        <v>0</v>
      </c>
      <c r="G45" s="31"/>
      <c r="H45" s="27"/>
      <c r="I45" s="28"/>
      <c r="J45" s="55"/>
      <c r="K45" s="57"/>
      <c r="L45" s="58"/>
      <c r="M45" s="59"/>
      <c r="N45" s="59"/>
      <c r="O45" s="58" t="s">
        <v>98</v>
      </c>
    </row>
    <row r="46" s="10" customFormat="1" ht="18" customHeight="1" spans="1:15">
      <c r="A46" s="38"/>
      <c r="B46" s="25">
        <f t="shared" si="13"/>
        <v>0</v>
      </c>
      <c r="C46" s="39"/>
      <c r="D46" s="40"/>
      <c r="E46" s="42"/>
      <c r="F46" s="25">
        <f t="shared" si="14"/>
        <v>0</v>
      </c>
      <c r="G46" s="31"/>
      <c r="H46" s="27"/>
      <c r="I46" s="28"/>
      <c r="J46" s="55"/>
      <c r="K46" s="57"/>
      <c r="L46" s="58"/>
      <c r="M46" s="59"/>
      <c r="N46" s="59"/>
      <c r="O46" s="58"/>
    </row>
    <row r="47" ht="18" customHeight="1" spans="1:15">
      <c r="A47" s="34" t="s">
        <v>23</v>
      </c>
      <c r="B47" s="33">
        <f>SUM(B14:B46)</f>
        <v>2221498.98</v>
      </c>
      <c r="C47" s="34"/>
      <c r="D47" s="43"/>
      <c r="E47" s="43"/>
      <c r="F47" s="36">
        <f>SUM(F14:F46)</f>
        <v>135015.12</v>
      </c>
      <c r="G47" s="44">
        <f>SUM(G14:G46)</f>
        <v>2356514.1</v>
      </c>
      <c r="H47" s="45"/>
      <c r="I47" s="35">
        <f>SUM(I14:I46)</f>
        <v>2369000</v>
      </c>
      <c r="J47" s="60"/>
      <c r="K47" s="43"/>
      <c r="L47" s="37"/>
      <c r="M47" s="55"/>
      <c r="N47" s="55"/>
      <c r="O47" s="37"/>
    </row>
    <row r="48" ht="18" customHeight="1" spans="1:14">
      <c r="A48" s="46" t="s">
        <v>95</v>
      </c>
      <c r="B48" s="47">
        <f>B11*0.99</f>
        <v>2151660.55045871</v>
      </c>
      <c r="C48" s="46"/>
      <c r="D48" s="48"/>
      <c r="E48" s="48"/>
      <c r="F48" s="47"/>
      <c r="G48" s="47">
        <f>G11-G47</f>
        <v>12485.8999999999</v>
      </c>
      <c r="H48" s="1" t="s">
        <v>96</v>
      </c>
      <c r="I48" s="35">
        <f>I11-I47</f>
        <v>0</v>
      </c>
      <c r="J48" s="15"/>
      <c r="K48" s="61"/>
      <c r="M48" s="62"/>
      <c r="N48" s="62"/>
    </row>
    <row r="49" ht="18" customHeight="1" spans="1:16">
      <c r="A49" s="46" t="s">
        <v>97</v>
      </c>
      <c r="B49" s="47">
        <f>B48-B47</f>
        <v>-69838.4295412898</v>
      </c>
      <c r="C49" s="46"/>
      <c r="D49" s="48"/>
      <c r="E49" s="48"/>
      <c r="F49" s="47"/>
      <c r="G49" s="47"/>
      <c r="H49" s="49"/>
      <c r="I49" s="47"/>
      <c r="J49" s="15"/>
      <c r="K49" s="61"/>
      <c r="M49" s="62"/>
      <c r="N49" s="62"/>
      <c r="P49" s="15" t="s">
        <v>98</v>
      </c>
    </row>
    <row r="50" ht="18" customHeight="1" spans="1:3">
      <c r="A50" s="11" t="s">
        <v>99</v>
      </c>
      <c r="C50" s="11"/>
    </row>
    <row r="51" ht="18" customHeight="1" spans="1:13">
      <c r="A51" s="1" t="s">
        <v>100</v>
      </c>
      <c r="B51" s="3" t="s">
        <v>101</v>
      </c>
      <c r="C51" s="37"/>
      <c r="D51" s="1" t="s">
        <v>100</v>
      </c>
      <c r="E51" s="2" t="s">
        <v>16</v>
      </c>
      <c r="F51" s="3" t="s">
        <v>101</v>
      </c>
      <c r="G51" s="12" t="s">
        <v>102</v>
      </c>
      <c r="H51" s="3" t="s">
        <v>103</v>
      </c>
      <c r="I51" s="12" t="s">
        <v>103</v>
      </c>
      <c r="K51" s="3" t="s">
        <v>104</v>
      </c>
      <c r="L51" s="3" t="s">
        <v>105</v>
      </c>
      <c r="M51" s="3" t="s">
        <v>106</v>
      </c>
    </row>
    <row r="52" ht="18" customHeight="1" spans="1:13">
      <c r="A52" s="37" t="s">
        <v>109</v>
      </c>
      <c r="B52" s="25">
        <f>(B48-B47)*0.25</f>
        <v>-17459.6073853225</v>
      </c>
      <c r="C52" s="37"/>
      <c r="D52" s="4" t="s">
        <v>110</v>
      </c>
      <c r="E52" s="1" t="s">
        <v>111</v>
      </c>
      <c r="F52" s="36">
        <f>F11-F47</f>
        <v>17122.494678899</v>
      </c>
      <c r="G52" s="12">
        <f>F7</f>
        <v>33394.495412844</v>
      </c>
      <c r="H52" s="36">
        <f>F8</f>
        <v>33394.495412844</v>
      </c>
      <c r="I52" s="5">
        <f>-H52</f>
        <v>-33394.495412844</v>
      </c>
      <c r="K52" s="36">
        <v>0</v>
      </c>
      <c r="L52" s="63">
        <v>31336.084678899</v>
      </c>
      <c r="M52" s="36"/>
    </row>
    <row r="53" ht="18" customHeight="1" spans="1:13">
      <c r="A53" s="37" t="s">
        <v>112</v>
      </c>
      <c r="B53" s="50" t="s">
        <v>113</v>
      </c>
      <c r="C53" s="37"/>
      <c r="D53" s="6" t="s">
        <v>114</v>
      </c>
      <c r="E53" s="7">
        <v>0.05</v>
      </c>
      <c r="F53" s="28">
        <f>F52*E53</f>
        <v>856.12473394495</v>
      </c>
      <c r="G53" s="12">
        <f>G52*E53</f>
        <v>1669.7247706422</v>
      </c>
      <c r="H53" s="28">
        <f>H52*E53</f>
        <v>1669.7247706422</v>
      </c>
      <c r="I53" s="8">
        <f>I52*E53</f>
        <v>-1669.7247706422</v>
      </c>
      <c r="K53" s="28">
        <v>0</v>
      </c>
      <c r="L53" s="30">
        <v>1566.80423394495</v>
      </c>
      <c r="M53" s="28"/>
    </row>
    <row r="54" ht="18" customHeight="1" spans="1:13">
      <c r="A54" s="37" t="s">
        <v>115</v>
      </c>
      <c r="B54" s="50" t="s">
        <v>113</v>
      </c>
      <c r="C54" s="37"/>
      <c r="D54" s="6" t="s">
        <v>116</v>
      </c>
      <c r="E54" s="7">
        <v>0.03</v>
      </c>
      <c r="F54" s="28">
        <f>F52*E54</f>
        <v>513.67484036697</v>
      </c>
      <c r="G54" s="12">
        <f>G52*E54</f>
        <v>1001.83486238532</v>
      </c>
      <c r="H54" s="28">
        <f>H52*E54</f>
        <v>1001.83486238532</v>
      </c>
      <c r="I54" s="8">
        <f>I52*E54</f>
        <v>-1001.83486238532</v>
      </c>
      <c r="K54" s="28">
        <v>0</v>
      </c>
      <c r="L54" s="30">
        <v>940.08254036697</v>
      </c>
      <c r="M54" s="28"/>
    </row>
    <row r="55" ht="18" customHeight="1" spans="1:13">
      <c r="A55" s="37"/>
      <c r="B55" s="28"/>
      <c r="C55" s="37"/>
      <c r="D55" s="6" t="s">
        <v>117</v>
      </c>
      <c r="E55" s="7">
        <v>0.02</v>
      </c>
      <c r="F55" s="28">
        <f>F52*E55</f>
        <v>342.44989357798</v>
      </c>
      <c r="G55" s="12">
        <f>G52*E55</f>
        <v>667.88990825688</v>
      </c>
      <c r="H55" s="28">
        <f>H52*E55</f>
        <v>667.88990825688</v>
      </c>
      <c r="I55" s="8">
        <f>I52*E55</f>
        <v>-667.88990825688</v>
      </c>
      <c r="K55" s="28">
        <v>0</v>
      </c>
      <c r="L55" s="30">
        <v>626.72169357798</v>
      </c>
      <c r="M55" s="28"/>
    </row>
    <row r="56" ht="18" customHeight="1" spans="1:13">
      <c r="A56" s="4" t="s">
        <v>118</v>
      </c>
      <c r="B56" s="33">
        <f t="shared" ref="B56:I56" si="15">SUM(B52:B55)</f>
        <v>-17459.6073853225</v>
      </c>
      <c r="C56" s="37"/>
      <c r="D56" s="9" t="s">
        <v>118</v>
      </c>
      <c r="E56" s="4"/>
      <c r="F56" s="36">
        <f t="shared" si="15"/>
        <v>18834.7441467889</v>
      </c>
      <c r="G56" s="12">
        <f t="shared" si="15"/>
        <v>36733.9449541284</v>
      </c>
      <c r="H56" s="36">
        <f t="shared" si="15"/>
        <v>36733.9449541284</v>
      </c>
      <c r="I56" s="5">
        <f t="shared" si="15"/>
        <v>-36733.9449541284</v>
      </c>
      <c r="K56" s="36">
        <v>0</v>
      </c>
      <c r="L56" s="63">
        <v>34469.6931467889</v>
      </c>
      <c r="M56" s="36"/>
    </row>
    <row r="57" ht="18" customHeight="1" spans="3:17">
      <c r="C57" s="11"/>
      <c r="D57" s="2" t="s">
        <v>23</v>
      </c>
      <c r="E57" s="34"/>
      <c r="F57" s="35"/>
      <c r="K57" s="13"/>
      <c r="M57" s="13"/>
      <c r="Q57" s="15" t="s">
        <v>98</v>
      </c>
    </row>
    <row r="58" ht="18" customHeight="1" spans="3:13">
      <c r="C58" s="11"/>
      <c r="D58" s="34" t="s">
        <v>109</v>
      </c>
      <c r="E58" s="43">
        <v>0.01</v>
      </c>
      <c r="F58" s="35">
        <f>B11*E58</f>
        <v>21733.9449541284</v>
      </c>
      <c r="H58" s="35">
        <f>(B7+B8)*E58</f>
        <v>9541.28440366972</v>
      </c>
      <c r="K58" s="35">
        <f>B9*E58</f>
        <v>7715.59633027523</v>
      </c>
      <c r="M58" s="35">
        <f>G10*E58</f>
        <v>4880</v>
      </c>
    </row>
    <row r="59" ht="80.25" customHeight="1" spans="3:11">
      <c r="C59" s="11"/>
      <c r="G59" s="51" t="s">
        <v>121</v>
      </c>
      <c r="H59" s="3" t="s">
        <v>122</v>
      </c>
      <c r="K59" s="35"/>
    </row>
    <row r="60" ht="18" customHeight="1" spans="3:11">
      <c r="C60" s="11"/>
      <c r="F60" s="4" t="s">
        <v>110</v>
      </c>
      <c r="G60" s="1" t="s">
        <v>111</v>
      </c>
      <c r="H60" s="36">
        <f>D8</f>
        <v>9541.28440366972</v>
      </c>
      <c r="I60" s="36">
        <f>-H60</f>
        <v>-9541.28440366972</v>
      </c>
      <c r="K60" s="35">
        <f>B49*0.25</f>
        <v>-17459.6073853225</v>
      </c>
    </row>
    <row r="61" ht="18" customHeight="1" spans="3:9">
      <c r="C61" s="11"/>
      <c r="F61" s="6" t="s">
        <v>114</v>
      </c>
      <c r="G61" s="7">
        <v>0.05</v>
      </c>
      <c r="H61" s="28">
        <f>H60*E53</f>
        <v>477.064220183486</v>
      </c>
      <c r="I61" s="28">
        <f>I60*G61</f>
        <v>-477.064220183486</v>
      </c>
    </row>
    <row r="62" spans="3:9">
      <c r="C62" s="11"/>
      <c r="F62" s="6" t="s">
        <v>116</v>
      </c>
      <c r="G62" s="7">
        <v>0.03</v>
      </c>
      <c r="H62" s="28">
        <f>H60*E54</f>
        <v>286.238532110092</v>
      </c>
      <c r="I62" s="28">
        <f>I60*G62</f>
        <v>-286.238532110092</v>
      </c>
    </row>
    <row r="63" spans="3:11">
      <c r="C63" s="11"/>
      <c r="F63" s="6" t="s">
        <v>117</v>
      </c>
      <c r="G63" s="7">
        <v>0.02</v>
      </c>
      <c r="H63" s="28">
        <f>H60*E55</f>
        <v>190.825688073394</v>
      </c>
      <c r="I63" s="28">
        <f>I60*G63</f>
        <v>-190.825688073394</v>
      </c>
      <c r="K63" s="15" t="s">
        <v>123</v>
      </c>
    </row>
    <row r="64" spans="3:9">
      <c r="C64" s="11"/>
      <c r="F64" s="9" t="s">
        <v>118</v>
      </c>
      <c r="G64" s="4"/>
      <c r="H64" s="36">
        <f>SUM(H60:H63)</f>
        <v>10495.4128440367</v>
      </c>
      <c r="I64" s="36">
        <f>SUM(I60:I63)</f>
        <v>-10495.4128440367</v>
      </c>
    </row>
    <row r="65" spans="3:9">
      <c r="C65" s="11"/>
      <c r="F65" s="6" t="s">
        <v>112</v>
      </c>
      <c r="G65" s="7">
        <v>0.0003</v>
      </c>
      <c r="H65" s="28">
        <f>G8*G65</f>
        <v>156</v>
      </c>
      <c r="I65" s="28">
        <f t="shared" ref="I65:I68" si="16">-H65</f>
        <v>-156</v>
      </c>
    </row>
    <row r="66" spans="3:9">
      <c r="C66" s="11"/>
      <c r="F66" s="6" t="s">
        <v>115</v>
      </c>
      <c r="G66" s="7">
        <v>0.0006</v>
      </c>
      <c r="H66" s="28">
        <f>B8*G66</f>
        <v>286.238532110092</v>
      </c>
      <c r="I66" s="28">
        <f t="shared" si="16"/>
        <v>-286.238532110092</v>
      </c>
    </row>
    <row r="67" spans="3:9">
      <c r="C67" s="11"/>
      <c r="F67" s="2" t="s">
        <v>118</v>
      </c>
      <c r="G67" s="34"/>
      <c r="H67" s="35">
        <f>H65+H66</f>
        <v>442.238532110092</v>
      </c>
      <c r="I67" s="35">
        <f t="shared" si="16"/>
        <v>-442.238532110092</v>
      </c>
    </row>
    <row r="68" spans="3:9">
      <c r="C68" s="11"/>
      <c r="F68" s="2" t="s">
        <v>23</v>
      </c>
      <c r="G68" s="34"/>
      <c r="H68" s="35">
        <f>H64+H67</f>
        <v>10937.6513761468</v>
      </c>
      <c r="I68" s="35">
        <f t="shared" si="16"/>
        <v>-10937.6513761468</v>
      </c>
    </row>
    <row r="69" spans="3:8">
      <c r="C69" s="11"/>
      <c r="G69" s="64" t="s">
        <v>124</v>
      </c>
      <c r="H69" s="46">
        <f>B49*0.25</f>
        <v>-17459.6073853225</v>
      </c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6" spans="3:3">
      <c r="C76" s="11"/>
    </row>
    <row r="77" spans="3:3">
      <c r="C77" s="11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2" sqref="C32:C34"/>
    </sheetView>
  </sheetViews>
  <sheetFormatPr defaultColWidth="9" defaultRowHeight="13.5" outlineLevelRow="5" outlineLevelCol="2"/>
  <cols>
    <col min="1" max="1" width="20.5" customWidth="1"/>
    <col min="3" max="3" width="28.75" customWidth="1"/>
  </cols>
  <sheetData>
    <row r="1" spans="1:3">
      <c r="A1" s="1" t="s">
        <v>100</v>
      </c>
      <c r="B1" s="2" t="s">
        <v>16</v>
      </c>
      <c r="C1" s="3" t="s">
        <v>126</v>
      </c>
    </row>
    <row r="2" spans="1:3">
      <c r="A2" s="4" t="s">
        <v>110</v>
      </c>
      <c r="B2" s="1" t="s">
        <v>111</v>
      </c>
      <c r="C2" s="5">
        <v>33394.495412844</v>
      </c>
    </row>
    <row r="3" spans="1:3">
      <c r="A3" s="6" t="s">
        <v>114</v>
      </c>
      <c r="B3" s="7">
        <v>0.05</v>
      </c>
      <c r="C3" s="8">
        <v>1669.7247706422</v>
      </c>
    </row>
    <row r="4" spans="1:3">
      <c r="A4" s="6" t="s">
        <v>116</v>
      </c>
      <c r="B4" s="7">
        <v>0.03</v>
      </c>
      <c r="C4" s="8">
        <v>1001.83486238532</v>
      </c>
    </row>
    <row r="5" spans="1:3">
      <c r="A5" s="6" t="s">
        <v>117</v>
      </c>
      <c r="B5" s="7">
        <v>0.02</v>
      </c>
      <c r="C5" s="8">
        <v>667.889908256881</v>
      </c>
    </row>
    <row r="6" spans="1:3">
      <c r="A6" s="9" t="s">
        <v>118</v>
      </c>
      <c r="B6" s="4"/>
      <c r="C6" s="5">
        <v>36733.9449541284</v>
      </c>
    </row>
  </sheetData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2021-11-08T01:47:13Z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88525C2AF41048EBB6704414EEA67AA1</vt:lpwstr>
  </property>
</Properties>
</file>