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75"/>
  </bookViews>
  <sheets>
    <sheet name="新" sheetId="1" r:id="rId1"/>
    <sheet name="旧" sheetId="2" r:id="rId2"/>
  </sheets>
  <definedNames>
    <definedName name="_xlnm._FilterDatabase" localSheetId="0" hidden="1">新!$A$13:$P$88</definedName>
  </definedNames>
  <calcPr calcId="144525" concurrentCalc="0"/>
</workbook>
</file>

<file path=xl/calcChain.xml><?xml version="1.0" encoding="utf-8"?>
<calcChain xmlns="http://schemas.openxmlformats.org/spreadsheetml/2006/main">
  <c r="F46" i="1" l="1"/>
  <c r="B46" i="1"/>
  <c r="F45" i="1"/>
  <c r="B45" i="1"/>
  <c r="F44" i="1"/>
  <c r="B44" i="1"/>
  <c r="B49" i="1"/>
  <c r="B50" i="1"/>
  <c r="B51" i="1"/>
  <c r="B52" i="1"/>
  <c r="B53" i="1"/>
  <c r="B54" i="1"/>
  <c r="B40" i="1"/>
  <c r="B41" i="1"/>
  <c r="B42" i="1"/>
  <c r="B43" i="1"/>
  <c r="B47" i="1"/>
  <c r="B48" i="1"/>
  <c r="F39" i="1"/>
  <c r="F40" i="1"/>
  <c r="F41" i="1"/>
  <c r="F42" i="1"/>
  <c r="F43" i="1"/>
  <c r="F47" i="1"/>
  <c r="F48" i="1"/>
  <c r="F49" i="1"/>
  <c r="F50" i="1"/>
  <c r="F51" i="1"/>
  <c r="F52" i="1"/>
  <c r="F53" i="1"/>
  <c r="F54" i="1"/>
  <c r="F55" i="1"/>
  <c r="F56" i="1"/>
  <c r="F57" i="1"/>
  <c r="F58" i="1"/>
  <c r="G55" i="2"/>
  <c r="G54" i="2"/>
  <c r="F54" i="2"/>
  <c r="F53" i="2"/>
  <c r="F52" i="2"/>
  <c r="F51" i="2"/>
  <c r="F50" i="2"/>
  <c r="F49" i="2"/>
  <c r="B49" i="2"/>
  <c r="F48" i="2"/>
  <c r="F47" i="2"/>
  <c r="F46" i="2"/>
  <c r="F45" i="2"/>
  <c r="B45" i="2"/>
  <c r="B42" i="2"/>
  <c r="I41" i="2"/>
  <c r="G41" i="2"/>
  <c r="B41" i="2"/>
  <c r="I40" i="2"/>
  <c r="G40" i="2"/>
  <c r="F40" i="2"/>
  <c r="B40" i="2"/>
  <c r="F39" i="2"/>
  <c r="B39" i="2"/>
  <c r="F38" i="2"/>
  <c r="B38" i="2"/>
  <c r="F37" i="2"/>
  <c r="B37" i="2"/>
  <c r="F36" i="2"/>
  <c r="B36" i="2"/>
  <c r="I35" i="2"/>
  <c r="G35" i="2"/>
  <c r="F35" i="2"/>
  <c r="B35" i="2"/>
  <c r="F34" i="2"/>
  <c r="B34" i="2"/>
  <c r="F33" i="2"/>
  <c r="B33" i="2"/>
  <c r="F32" i="2"/>
  <c r="B32" i="2"/>
  <c r="F31" i="2"/>
  <c r="B31" i="2"/>
  <c r="F27" i="2"/>
  <c r="B27" i="2"/>
  <c r="F26" i="2"/>
  <c r="B26" i="2"/>
  <c r="F25" i="2"/>
  <c r="B25" i="2"/>
  <c r="F24" i="2"/>
  <c r="B24" i="2"/>
  <c r="G23" i="2"/>
  <c r="F23" i="2"/>
  <c r="B23" i="2"/>
  <c r="F22" i="2"/>
  <c r="B22" i="2"/>
  <c r="G21" i="2"/>
  <c r="F21" i="2"/>
  <c r="B21" i="2"/>
  <c r="F19" i="2"/>
  <c r="B19" i="2"/>
  <c r="G17" i="2"/>
  <c r="F17" i="2"/>
  <c r="B17" i="2"/>
  <c r="F16" i="2"/>
  <c r="B16" i="2"/>
  <c r="F15" i="2"/>
  <c r="B15" i="2"/>
  <c r="F14" i="2"/>
  <c r="B14" i="2"/>
  <c r="I11" i="2"/>
  <c r="G11" i="2"/>
  <c r="F11" i="2"/>
  <c r="D11" i="2"/>
  <c r="B11" i="2"/>
  <c r="F10" i="2"/>
  <c r="D10" i="2"/>
  <c r="B10" i="2"/>
  <c r="F9" i="2"/>
  <c r="D9" i="2"/>
  <c r="B9" i="2"/>
  <c r="F8" i="2"/>
  <c r="D8" i="2"/>
  <c r="B8" i="2"/>
  <c r="F7" i="2"/>
  <c r="D7" i="2"/>
  <c r="B7" i="2"/>
  <c r="F7" i="1"/>
  <c r="F8" i="1"/>
  <c r="F9" i="1"/>
  <c r="F10" i="1"/>
  <c r="F11" i="1"/>
  <c r="F14" i="1"/>
  <c r="F15" i="1"/>
  <c r="F16" i="1"/>
  <c r="F17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73" i="1"/>
  <c r="F78" i="1"/>
  <c r="F79" i="1"/>
  <c r="F80" i="1"/>
  <c r="F81" i="1"/>
  <c r="F82" i="1"/>
  <c r="F88" i="1"/>
  <c r="I87" i="1"/>
  <c r="H87" i="1"/>
  <c r="G87" i="1"/>
  <c r="F87" i="1"/>
  <c r="I78" i="1"/>
  <c r="I79" i="1"/>
  <c r="I80" i="1"/>
  <c r="I81" i="1"/>
  <c r="I82" i="1"/>
  <c r="B9" i="1"/>
  <c r="I84" i="1"/>
  <c r="I85" i="1"/>
  <c r="I86" i="1"/>
  <c r="H78" i="1"/>
  <c r="H79" i="1"/>
  <c r="H80" i="1"/>
  <c r="H81" i="1"/>
  <c r="H82" i="1"/>
  <c r="H86" i="1"/>
  <c r="G86" i="1"/>
  <c r="B7" i="1"/>
  <c r="B8" i="1"/>
  <c r="B10" i="1"/>
  <c r="B11" i="1"/>
  <c r="F84" i="1"/>
  <c r="F85" i="1"/>
  <c r="F86" i="1"/>
  <c r="H85" i="1"/>
  <c r="G85" i="1"/>
  <c r="I83" i="1"/>
  <c r="F83" i="1"/>
  <c r="B74" i="1"/>
  <c r="B14" i="1"/>
  <c r="B15" i="1"/>
  <c r="B16" i="1"/>
  <c r="B17" i="1"/>
  <c r="B19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73" i="1"/>
  <c r="B78" i="1"/>
  <c r="B82" i="1"/>
  <c r="G78" i="1"/>
  <c r="G81" i="1"/>
  <c r="G80" i="1"/>
  <c r="G79" i="1"/>
  <c r="I74" i="1"/>
  <c r="J73" i="1"/>
  <c r="I75" i="1"/>
  <c r="B75" i="1"/>
  <c r="G73" i="1"/>
  <c r="G74" i="1"/>
  <c r="F72" i="1"/>
  <c r="B72" i="1"/>
  <c r="F71" i="1"/>
  <c r="B71" i="1"/>
  <c r="F70" i="1"/>
  <c r="B70" i="1"/>
  <c r="I69" i="1"/>
  <c r="F69" i="1"/>
  <c r="B69" i="1"/>
  <c r="G68" i="1"/>
  <c r="F68" i="1"/>
  <c r="B68" i="1"/>
  <c r="F67" i="1"/>
  <c r="B67" i="1"/>
  <c r="F66" i="1"/>
  <c r="B66" i="1"/>
  <c r="F65" i="1"/>
  <c r="B65" i="1"/>
  <c r="F64" i="1"/>
  <c r="B64" i="1"/>
  <c r="F63" i="1"/>
  <c r="B63" i="1"/>
  <c r="F62" i="1"/>
  <c r="B62" i="1"/>
  <c r="F61" i="1"/>
  <c r="B61" i="1"/>
  <c r="F60" i="1"/>
  <c r="B60" i="1"/>
  <c r="F59" i="1"/>
  <c r="B59" i="1"/>
  <c r="B57" i="1"/>
  <c r="B56" i="1"/>
  <c r="B55" i="1"/>
  <c r="G23" i="1"/>
  <c r="G21" i="1"/>
  <c r="G17" i="1"/>
  <c r="I12" i="1"/>
  <c r="I11" i="1"/>
  <c r="G11" i="1"/>
  <c r="D7" i="1"/>
  <c r="D8" i="1"/>
  <c r="D9" i="1"/>
  <c r="D10" i="1"/>
  <c r="D11" i="1"/>
</calcChain>
</file>

<file path=xl/comments1.xml><?xml version="1.0" encoding="utf-8"?>
<comments xmlns="http://schemas.openxmlformats.org/spreadsheetml/2006/main">
  <authors>
    <author>qyr</author>
    <author>cw05</author>
  </authors>
  <commentList>
    <comment ref="J34" authorId="0">
      <text>
        <r>
          <rPr>
            <sz val="9"/>
            <rFont val="宋体"/>
            <family val="3"/>
            <charset val="134"/>
          </rPr>
          <t>qyr:
垫付材料款，结清证明已办理</t>
        </r>
      </text>
    </comment>
    <comment ref="A79" authorId="1">
      <text>
        <r>
          <rPr>
            <sz val="9"/>
            <rFont val="宋体"/>
            <family val="3"/>
            <charset val="134"/>
          </rPr>
          <t>cw05:
当地未缴，本地代扣代缴，含税价*0.0003。</t>
        </r>
      </text>
    </comment>
    <comment ref="A80" authorId="1">
      <text>
        <r>
          <rPr>
            <sz val="9"/>
            <rFont val="宋体"/>
            <family val="3"/>
            <charset val="134"/>
          </rPr>
          <t>cw05:
当地未缴，本地代扣代缴，不含税销售额*0.0006</t>
        </r>
      </text>
    </comment>
    <comment ref="H83" authorId="0">
      <text>
        <r>
          <rPr>
            <sz val="9"/>
            <rFont val="宋体"/>
            <family val="3"/>
            <charset val="134"/>
          </rPr>
          <t>qyr:
异地已预缴135.89</t>
        </r>
      </text>
    </comment>
    <comment ref="H84" authorId="0">
      <text>
        <r>
          <rPr>
            <sz val="9"/>
            <rFont val="宋体"/>
            <family val="3"/>
            <charset val="134"/>
          </rPr>
          <t>qyr:
异地已预缴385.24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46" authorId="0">
      <text>
        <r>
          <rPr>
            <sz val="9"/>
            <rFont val="宋体"/>
            <family val="3"/>
            <charset val="134"/>
          </rPr>
          <t>cw05:
当地未缴，本地代扣代缴，含税价*0.0003。</t>
        </r>
      </text>
    </comment>
    <comment ref="A47" authorId="0">
      <text>
        <r>
          <rPr>
            <sz val="9"/>
            <rFont val="宋体"/>
            <family val="3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<sst xmlns="http://schemas.openxmlformats.org/spreadsheetml/2006/main" count="377" uniqueCount="132">
  <si>
    <t>C10756  潜山市2018年危桥改造工程（黄铺镇二组桥）</t>
  </si>
  <si>
    <t>中标日期</t>
  </si>
  <si>
    <t>中标价</t>
  </si>
  <si>
    <t>负责人</t>
  </si>
  <si>
    <t>潜山办事处张居田</t>
  </si>
  <si>
    <t>建设单位</t>
  </si>
  <si>
    <t>潜山市黄铺镇人民政府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</si>
  <si>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</si>
  <si>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</si>
  <si>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</si>
  <si>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</si>
  <si>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</si>
  <si>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</si>
  <si>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</si>
  <si>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</si>
  <si>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</si>
  <si>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</si>
  <si>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</si>
  <si>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</si>
  <si>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</si>
  <si>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</si>
  <si>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</si>
  <si>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2021-2-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</si>
  <si>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</si>
  <si>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</si>
  <si>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</si>
  <si>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</si>
  <si>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</si>
  <si>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</si>
  <si>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</si>
  <si>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</si>
  <si>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</si>
  <si>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</si>
  <si>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周转金</t>
  </si>
  <si>
    <t>销货单位</t>
  </si>
  <si>
    <t>货物</t>
  </si>
  <si>
    <t>合同</t>
  </si>
  <si>
    <t>发货单</t>
  </si>
  <si>
    <t>备注</t>
  </si>
  <si>
    <t>专</t>
  </si>
  <si>
    <t>安庆恒通农电服务有限责任公司潜山市分公司</t>
  </si>
  <si>
    <t>工程费用</t>
  </si>
  <si>
    <t>安徽科创工程项目管理有限公司潜山办事处</t>
  </si>
  <si>
    <t>招标代理费</t>
  </si>
  <si>
    <t>中国平安财产保险股份有限公司安庆中心支公司</t>
  </si>
  <si>
    <t>工程一切险</t>
  </si>
  <si>
    <t>安庆市宜茂商贸有限公司</t>
  </si>
  <si>
    <t>螺纹47.871吨</t>
  </si>
  <si>
    <t>有</t>
  </si>
  <si>
    <t>补货单</t>
  </si>
  <si>
    <t>徽行</t>
  </si>
  <si>
    <t>欧阳晓彬</t>
  </si>
  <si>
    <t>安庆市开发区建华水暖经验部</t>
  </si>
  <si>
    <t>波纹管420米</t>
  </si>
  <si>
    <t>普</t>
  </si>
  <si>
    <t>潜山市潜润砂石经验有限公司</t>
  </si>
  <si>
    <t>黄沙388.5立方</t>
  </si>
  <si>
    <t>补合同</t>
  </si>
  <si>
    <t>安庆市泽楷贸易有限公司</t>
  </si>
  <si>
    <t>水泥435.98吨</t>
  </si>
  <si>
    <t>水泥</t>
  </si>
  <si>
    <t>退代付材料款</t>
  </si>
  <si>
    <t>付零星材料款</t>
  </si>
  <si>
    <t>潜山市礼义钢材经营部</t>
  </si>
  <si>
    <t>钢材1.13吨</t>
  </si>
  <si>
    <t>补收据、结清证明</t>
  </si>
  <si>
    <t>潜山县黄铺镇先进免烧砖厂</t>
  </si>
  <si>
    <t>免烧砖104246块</t>
  </si>
  <si>
    <t>太湖县颂华建材有限责任公司</t>
  </si>
  <si>
    <t>石子2900吨</t>
  </si>
  <si>
    <t>有结清证明</t>
  </si>
  <si>
    <t>1次</t>
  </si>
  <si>
    <t>欧阳晓彬垫付（潜山市潜润砂石经验有限公司）</t>
  </si>
  <si>
    <t>欧阳晓彬（太湖县颂华建材有限责任公司）</t>
  </si>
  <si>
    <t>石子</t>
  </si>
  <si>
    <t>免烧砖</t>
  </si>
  <si>
    <t>螺纹钢</t>
  </si>
  <si>
    <t>螺纹钢32.609吨</t>
  </si>
  <si>
    <t>水泥108.9吨</t>
  </si>
  <si>
    <t>合同价258000</t>
  </si>
  <si>
    <t>2份</t>
  </si>
  <si>
    <t>潜山市崛源建筑工程有限公司</t>
  </si>
  <si>
    <t>机械租赁</t>
  </si>
  <si>
    <t>合同价160000</t>
  </si>
  <si>
    <t>水泥款</t>
  </si>
  <si>
    <t>4份</t>
  </si>
  <si>
    <t>劳务</t>
  </si>
  <si>
    <t>合同价37万</t>
  </si>
  <si>
    <t>机械</t>
  </si>
  <si>
    <t>扣</t>
  </si>
  <si>
    <t>手续费</t>
  </si>
  <si>
    <t>企税1.6%</t>
  </si>
  <si>
    <t>增值税及附加</t>
  </si>
  <si>
    <t>水利基金23.28+印花税12.69（2023.1月开票）</t>
  </si>
  <si>
    <t>补扣</t>
  </si>
  <si>
    <t>按审计价补扣1.6企税（吴总算）</t>
  </si>
  <si>
    <t>转账手续费</t>
  </si>
  <si>
    <t>外经证</t>
  </si>
  <si>
    <t>补扣管理费（至审计价）</t>
  </si>
  <si>
    <t>税金（总算补扣）</t>
  </si>
  <si>
    <t>2021年2月开票增值税及附加</t>
  </si>
  <si>
    <t>8次</t>
  </si>
  <si>
    <t>退</t>
  </si>
  <si>
    <t>暂扣企税</t>
  </si>
  <si>
    <t>7次</t>
  </si>
  <si>
    <t>巡查费</t>
  </si>
  <si>
    <t>建造师占用费、外经证</t>
  </si>
  <si>
    <t>全部管理费</t>
  </si>
  <si>
    <t>暂扣</t>
  </si>
  <si>
    <t>企税</t>
  </si>
  <si>
    <t>应提供成本</t>
  </si>
  <si>
    <t>可支付金额</t>
  </si>
  <si>
    <t>尚需提供成本</t>
  </si>
  <si>
    <t>公司代缴税金：</t>
  </si>
  <si>
    <t>税种</t>
  </si>
  <si>
    <t>税额</t>
  </si>
  <si>
    <t>20.1月开票扣税</t>
  </si>
  <si>
    <t>2021年2月开票税金</t>
  </si>
  <si>
    <t>2023年1月开票税金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</si>
  <si>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</si>
  <si>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</si>
  <si>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</si>
  <si>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</si>
  <si>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</si>
  <si>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</si>
  <si>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</si>
  <si>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</si>
  <si>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</si>
  <si>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</si>
  <si>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 xml:space="preserve"> </t>
  </si>
  <si>
    <t>潜山市2018年危桥改造工程（黄铺镇二组桥）</t>
  </si>
  <si>
    <t>管理费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</si>
</sst>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8" formatCode="yy/m/d;@"/>
    <numFmt numFmtId="179" formatCode="0.00_ "/>
    <numFmt numFmtId="180" formatCode="#,##0.00_ "/>
    <numFmt numFmtId="181" formatCode="yyyy&quot;年&quot;m&quot;月&quot;;@"/>
    <numFmt numFmtId="182" formatCode="#,##0_ "/>
    <numFmt numFmtId="183" formatCode="yyyy/m/d;@"/>
  </numFmts>
  <fonts count="1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family val="1"/>
    </font>
    <font>
      <sz val="9"/>
      <color rgb="FF333333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0" borderId="0">
      <protection locked="0"/>
    </xf>
  </cellStyleXfs>
  <cellXfs count="96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vertical="center"/>
    </xf>
    <xf numFmtId="43" fontId="4" fillId="0" borderId="0" xfId="1" applyFont="1" applyAlignment="1"/>
    <xf numFmtId="180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9" fontId="2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9" fontId="2" fillId="0" borderId="2" xfId="2" applyNumberFormat="1" applyFont="1" applyBorder="1" applyAlignment="1">
      <alignment horizontal="center" vertical="center"/>
    </xf>
    <xf numFmtId="180" fontId="2" fillId="0" borderId="2" xfId="0" applyNumberFormat="1" applyFont="1" applyFill="1" applyBorder="1" applyAlignment="1">
      <alignment vertical="center"/>
    </xf>
    <xf numFmtId="180" fontId="1" fillId="2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80" fontId="6" fillId="3" borderId="2" xfId="0" applyNumberFormat="1" applyFont="1" applyFill="1" applyBorder="1" applyAlignment="1">
      <alignment vertical="center"/>
    </xf>
    <xf numFmtId="180" fontId="6" fillId="0" borderId="2" xfId="0" applyNumberFormat="1" applyFont="1" applyBorder="1" applyAlignment="1">
      <alignment vertical="center"/>
    </xf>
    <xf numFmtId="180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vertical="center"/>
    </xf>
    <xf numFmtId="182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2" applyNumberFormat="1" applyFont="1" applyFill="1" applyBorder="1" applyAlignment="1">
      <alignment horizontal="center" vertical="center"/>
    </xf>
    <xf numFmtId="180" fontId="2" fillId="2" borderId="2" xfId="0" applyNumberFormat="1" applyFont="1" applyFill="1" applyBorder="1" applyAlignment="1">
      <alignment vertical="center"/>
    </xf>
    <xf numFmtId="9" fontId="1" fillId="5" borderId="2" xfId="2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80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9" fontId="6" fillId="4" borderId="2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left" vertical="center"/>
    </xf>
    <xf numFmtId="179" fontId="2" fillId="0" borderId="2" xfId="0" applyNumberFormat="1" applyFont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80" fontId="7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2" applyNumberFormat="1" applyFont="1" applyBorder="1" applyAlignment="1">
      <alignment horizontal="center" vertical="center"/>
    </xf>
    <xf numFmtId="180" fontId="1" fillId="0" borderId="2" xfId="0" applyNumberFormat="1" applyFont="1" applyFill="1" applyBorder="1" applyAlignment="1">
      <alignment vertical="center"/>
    </xf>
    <xf numFmtId="181" fontId="2" fillId="0" borderId="2" xfId="0" applyNumberFormat="1" applyFon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2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180" fontId="1" fillId="6" borderId="2" xfId="0" applyNumberFormat="1" applyFont="1" applyFill="1" applyBorder="1" applyAlignment="1">
      <alignment vertical="center"/>
    </xf>
    <xf numFmtId="0" fontId="2" fillId="6" borderId="2" xfId="0" applyNumberFormat="1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180" fontId="8" fillId="0" borderId="2" xfId="0" applyNumberFormat="1" applyFont="1" applyBorder="1" applyAlignment="1">
      <alignment vertical="center"/>
    </xf>
    <xf numFmtId="179" fontId="8" fillId="0" borderId="2" xfId="0" applyNumberFormat="1" applyFont="1" applyBorder="1" applyAlignment="1">
      <alignment vertical="center"/>
    </xf>
    <xf numFmtId="180" fontId="6" fillId="0" borderId="5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9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80" fontId="6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/>
    </xf>
    <xf numFmtId="180" fontId="6" fillId="0" borderId="3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center" vertical="center"/>
    </xf>
    <xf numFmtId="183" fontId="2" fillId="0" borderId="2" xfId="0" applyNumberFormat="1" applyFont="1" applyBorder="1" applyAlignment="1">
      <alignment horizontal="center" vertical="center"/>
    </xf>
    <xf numFmtId="183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">
    <cellStyle name="百分比" xfId="2" builtinId="5"/>
    <cellStyle name="常规" xfId="0" builtinId="0"/>
    <cellStyle name="常规 2" xfId="3"/>
    <cellStyle name="千位分隔" xfId="1" builtinId="3"/>
  </cellStyles>
  <dxfs count="0"/>
  <tableStyles count="0" defaultTableStyle="TableStyleMedium2"/>
  <colors>
    <mruColors>
      <color rgb="FFFFFF00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45085</xdr:colOff>
      <xdr:row>15</xdr:row>
      <xdr:rowOff>180975</xdr:rowOff>
    </xdr:from>
    <xdr:to>
      <xdr:col>18</xdr:col>
      <xdr:colOff>629920</xdr:colOff>
      <xdr:row>27</xdr:row>
      <xdr:rowOff>82550</xdr:rowOff>
    </xdr:to>
    <xdr:pic>
      <xdr:nvPicPr>
        <xdr:cNvPr id="2" name="图片 1" descr="06C4DD5C5458C919D88D64C7AA2298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5960" y="3660140"/>
          <a:ext cx="1956435" cy="2644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6"/>
  <sheetViews>
    <sheetView tabSelected="1" zoomScale="110" zoomScaleNormal="110" workbookViewId="0">
      <selection activeCell="F3" sqref="F3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10" width="13.875" style="3" customWidth="1"/>
    <col min="11" max="11" width="6.125" style="5" customWidth="1"/>
    <col min="12" max="12" width="31.5" style="6" customWidth="1"/>
    <col min="13" max="13" width="12.75" style="6" customWidth="1"/>
    <col min="14" max="14" width="6" style="6" customWidth="1"/>
    <col min="15" max="15" width="5.625" style="6" customWidth="1"/>
    <col min="16" max="16" width="16" style="6" customWidth="1"/>
    <col min="17" max="16384" width="9" style="6"/>
  </cols>
  <sheetData>
    <row r="1" spans="1:16" ht="21.95" customHeight="1">
      <c r="A1" s="77" t="s">
        <v>0</v>
      </c>
      <c r="B1" s="77"/>
      <c r="C1" s="77"/>
      <c r="D1" s="77"/>
      <c r="E1" s="77"/>
      <c r="F1" s="78"/>
      <c r="G1" s="78"/>
      <c r="H1" s="77"/>
      <c r="I1" s="78"/>
      <c r="J1" s="78"/>
      <c r="K1" s="77"/>
      <c r="L1" s="15"/>
      <c r="M1" s="15"/>
    </row>
    <row r="2" spans="1:16" ht="18" customHeight="1">
      <c r="A2" s="7" t="s">
        <v>1</v>
      </c>
      <c r="B2" s="93">
        <v>43427</v>
      </c>
      <c r="C2" s="9" t="s">
        <v>2</v>
      </c>
      <c r="D2" s="9">
        <v>1234110.6499999999</v>
      </c>
      <c r="E2" s="11" t="s">
        <v>3</v>
      </c>
      <c r="F2" s="95" t="s">
        <v>4</v>
      </c>
      <c r="G2" s="13" t="s">
        <v>5</v>
      </c>
      <c r="H2" s="79" t="s">
        <v>6</v>
      </c>
      <c r="I2" s="80"/>
      <c r="J2" s="80"/>
      <c r="K2" s="81"/>
      <c r="L2" s="15"/>
      <c r="M2" s="15"/>
    </row>
    <row r="3" spans="1:16" ht="18" customHeight="1">
      <c r="A3" s="7" t="s">
        <v>7</v>
      </c>
      <c r="B3" s="94">
        <v>43863</v>
      </c>
      <c r="C3" s="9" t="s">
        <v>8</v>
      </c>
      <c r="D3" s="9">
        <v>1409969.44</v>
      </c>
      <c r="H3" s="15"/>
      <c r="I3" s="50"/>
      <c r="J3" s="50"/>
      <c r="K3" s="15"/>
      <c r="L3" s="15"/>
      <c r="M3" s="15"/>
    </row>
    <row r="4" spans="1:16" ht="18" customHeight="1">
      <c r="A4" s="2" t="s">
        <v>9</v>
      </c>
      <c r="H4" s="15"/>
      <c r="I4" s="50"/>
      <c r="J4" s="50"/>
      <c r="K4" s="15"/>
      <c r="L4" s="15"/>
      <c r="M4" s="15"/>
    </row>
    <row r="5" spans="1:16" ht="18" customHeight="1">
      <c r="A5" s="82" t="s">
        <v>10</v>
      </c>
      <c r="B5" s="83" t="s">
        <v>11</v>
      </c>
      <c r="C5" s="82" t="s">
        <v>12</v>
      </c>
      <c r="D5" s="82"/>
      <c r="E5" s="82" t="s">
        <v>13</v>
      </c>
      <c r="F5" s="83"/>
      <c r="G5" s="83" t="s">
        <v>14</v>
      </c>
      <c r="H5" s="84" t="s">
        <v>15</v>
      </c>
      <c r="I5" s="83"/>
      <c r="J5" s="83"/>
      <c r="K5" s="84"/>
    </row>
    <row r="6" spans="1:16" ht="18" customHeight="1">
      <c r="A6" s="82"/>
      <c r="B6" s="83"/>
      <c r="C6" s="16" t="s">
        <v>16</v>
      </c>
      <c r="D6" s="16" t="s">
        <v>17</v>
      </c>
      <c r="E6" s="16" t="s">
        <v>16</v>
      </c>
      <c r="F6" s="17" t="s">
        <v>17</v>
      </c>
      <c r="G6" s="83"/>
      <c r="H6" s="18" t="s">
        <v>18</v>
      </c>
      <c r="I6" s="17" t="s">
        <v>19</v>
      </c>
      <c r="J6" s="85" t="s">
        <v>20</v>
      </c>
      <c r="K6" s="86"/>
    </row>
    <row r="7" spans="1:16" ht="18" customHeight="1">
      <c r="A7" s="19">
        <v>43847</v>
      </c>
      <c r="B7" s="9">
        <f t="shared" ref="B7:B10" si="0">G7/(1+C7+E7)</f>
        <v>839166.05504587153</v>
      </c>
      <c r="C7" s="20">
        <v>0.02</v>
      </c>
      <c r="D7" s="21">
        <f t="shared" ref="D7:D10" si="1">G7/(1+E7+C7)*C7</f>
        <v>16783.32110091743</v>
      </c>
      <c r="E7" s="20">
        <v>7.0000000000000007E-2</v>
      </c>
      <c r="F7" s="9">
        <f t="shared" ref="F7:F10" si="2">G7/(1+C7+E7)*E7</f>
        <v>58741.623853211015</v>
      </c>
      <c r="G7" s="22">
        <v>914691</v>
      </c>
      <c r="H7" s="19">
        <v>43849</v>
      </c>
      <c r="I7" s="9">
        <v>914691</v>
      </c>
      <c r="J7" s="87" t="s">
        <v>21</v>
      </c>
      <c r="K7" s="88"/>
    </row>
    <row r="8" spans="1:16" ht="18" customHeight="1">
      <c r="A8" s="19" t="s">
        <v>22</v>
      </c>
      <c r="B8" s="9">
        <f t="shared" si="0"/>
        <v>415577.39449541282</v>
      </c>
      <c r="C8" s="20">
        <v>0.02</v>
      </c>
      <c r="D8" s="21">
        <f t="shared" si="1"/>
        <v>8311.5478899082573</v>
      </c>
      <c r="E8" s="20">
        <v>7.0000000000000007E-2</v>
      </c>
      <c r="F8" s="9">
        <f t="shared" si="2"/>
        <v>29090.4176146789</v>
      </c>
      <c r="G8" s="22">
        <v>452979.36</v>
      </c>
      <c r="H8" s="19">
        <v>44257</v>
      </c>
      <c r="I8" s="9">
        <v>452979.36</v>
      </c>
      <c r="J8" s="87" t="s">
        <v>23</v>
      </c>
      <c r="K8" s="88"/>
    </row>
    <row r="9" spans="1:16" ht="18" customHeight="1">
      <c r="A9" s="63">
        <v>44929</v>
      </c>
      <c r="B9" s="30">
        <f t="shared" si="0"/>
        <v>38806.495412844037</v>
      </c>
      <c r="C9" s="64">
        <v>0.02</v>
      </c>
      <c r="D9" s="65">
        <f t="shared" si="1"/>
        <v>776.12990825688075</v>
      </c>
      <c r="E9" s="64">
        <v>7.0000000000000007E-2</v>
      </c>
      <c r="F9" s="30">
        <f t="shared" si="2"/>
        <v>2716.4546788990829</v>
      </c>
      <c r="G9" s="22">
        <v>42299.08</v>
      </c>
      <c r="H9" s="19">
        <v>44945</v>
      </c>
      <c r="I9" s="9">
        <v>42299.08</v>
      </c>
      <c r="J9" s="87" t="s">
        <v>21</v>
      </c>
      <c r="K9" s="88"/>
    </row>
    <row r="10" spans="1:16" ht="18" customHeight="1">
      <c r="A10" s="19"/>
      <c r="B10" s="9">
        <f t="shared" si="0"/>
        <v>0</v>
      </c>
      <c r="C10" s="20">
        <v>0.02</v>
      </c>
      <c r="D10" s="21">
        <f t="shared" si="1"/>
        <v>0</v>
      </c>
      <c r="E10" s="20">
        <v>7.0000000000000007E-2</v>
      </c>
      <c r="F10" s="9">
        <f t="shared" si="2"/>
        <v>0</v>
      </c>
      <c r="G10" s="22"/>
      <c r="H10" s="19"/>
      <c r="I10" s="9"/>
      <c r="J10" s="89"/>
      <c r="K10" s="90"/>
    </row>
    <row r="11" spans="1:16" ht="18" customHeight="1">
      <c r="A11" s="23" t="s">
        <v>24</v>
      </c>
      <c r="B11" s="24">
        <f t="shared" ref="B11:G11" si="3">SUM(B7:B10)</f>
        <v>1293549.9449541282</v>
      </c>
      <c r="C11" s="25"/>
      <c r="D11" s="25">
        <f t="shared" si="3"/>
        <v>25870.998899082566</v>
      </c>
      <c r="E11" s="25"/>
      <c r="F11" s="26">
        <f t="shared" si="3"/>
        <v>90548.496146788995</v>
      </c>
      <c r="G11" s="25">
        <f t="shared" si="3"/>
        <v>1409969.44</v>
      </c>
      <c r="H11" s="27"/>
      <c r="I11" s="25">
        <f>SUM(I7:I10)</f>
        <v>1409969.44</v>
      </c>
      <c r="J11" s="91"/>
      <c r="K11" s="92"/>
    </row>
    <row r="12" spans="1:16" ht="18" customHeight="1">
      <c r="A12" s="2" t="s">
        <v>25</v>
      </c>
      <c r="I12" s="3">
        <f>D3-G11</f>
        <v>0</v>
      </c>
      <c r="K12" s="4"/>
      <c r="L12" s="4"/>
      <c r="M12" s="5"/>
    </row>
    <row r="13" spans="1:16" ht="18" customHeight="1">
      <c r="A13" s="28" t="s">
        <v>26</v>
      </c>
      <c r="B13" s="17" t="s">
        <v>27</v>
      </c>
      <c r="C13" s="16" t="s">
        <v>28</v>
      </c>
      <c r="D13" s="16" t="s">
        <v>29</v>
      </c>
      <c r="E13" s="16" t="s">
        <v>16</v>
      </c>
      <c r="F13" s="17" t="s">
        <v>30</v>
      </c>
      <c r="G13" s="17" t="s">
        <v>14</v>
      </c>
      <c r="H13" s="16" t="s">
        <v>31</v>
      </c>
      <c r="I13" s="17" t="s">
        <v>32</v>
      </c>
      <c r="J13" s="17" t="s">
        <v>33</v>
      </c>
      <c r="K13" s="16" t="s">
        <v>20</v>
      </c>
      <c r="L13" s="52" t="s">
        <v>34</v>
      </c>
      <c r="M13" s="18" t="s">
        <v>35</v>
      </c>
      <c r="N13" s="18" t="s">
        <v>36</v>
      </c>
      <c r="O13" s="18" t="s">
        <v>37</v>
      </c>
      <c r="P13" s="18" t="s">
        <v>38</v>
      </c>
    </row>
    <row r="14" spans="1:16" s="1" customFormat="1" ht="18" customHeight="1">
      <c r="A14" s="29">
        <v>43831</v>
      </c>
      <c r="B14" s="30">
        <f t="shared" ref="B14:B17" si="4">ROUND(G14/(1+E14),2)</f>
        <v>951.46</v>
      </c>
      <c r="C14" s="31"/>
      <c r="D14" s="32" t="s">
        <v>39</v>
      </c>
      <c r="E14" s="33">
        <v>0.03</v>
      </c>
      <c r="F14" s="30">
        <f t="shared" ref="F14:F17" si="5">ROUND(G14/(1+E14)*E14,2)</f>
        <v>28.54</v>
      </c>
      <c r="G14" s="34">
        <v>980</v>
      </c>
      <c r="H14" s="19"/>
      <c r="I14" s="9"/>
      <c r="J14" s="9"/>
      <c r="K14" s="51"/>
      <c r="L14" s="53" t="s">
        <v>40</v>
      </c>
      <c r="M14" s="54" t="s">
        <v>41</v>
      </c>
      <c r="N14" s="55"/>
      <c r="O14" s="55"/>
      <c r="P14" s="54"/>
    </row>
    <row r="15" spans="1:16" s="1" customFormat="1" ht="18" customHeight="1">
      <c r="A15" s="29">
        <v>43831</v>
      </c>
      <c r="B15" s="30">
        <f t="shared" si="4"/>
        <v>19223.3</v>
      </c>
      <c r="C15" s="31"/>
      <c r="D15" s="32" t="s">
        <v>39</v>
      </c>
      <c r="E15" s="33">
        <v>0.03</v>
      </c>
      <c r="F15" s="30">
        <f t="shared" si="5"/>
        <v>576.70000000000005</v>
      </c>
      <c r="G15" s="34">
        <v>19800</v>
      </c>
      <c r="H15" s="19"/>
      <c r="I15" s="9"/>
      <c r="J15" s="9"/>
      <c r="K15" s="51"/>
      <c r="L15" s="53" t="s">
        <v>42</v>
      </c>
      <c r="M15" s="54" t="s">
        <v>43</v>
      </c>
      <c r="N15" s="55"/>
      <c r="O15" s="55"/>
      <c r="P15" s="54"/>
    </row>
    <row r="16" spans="1:16" s="1" customFormat="1" ht="18" customHeight="1">
      <c r="A16" s="29">
        <v>43831</v>
      </c>
      <c r="B16" s="30">
        <f t="shared" si="4"/>
        <v>5583.96</v>
      </c>
      <c r="C16" s="31"/>
      <c r="D16" s="32" t="s">
        <v>39</v>
      </c>
      <c r="E16" s="33">
        <v>0.06</v>
      </c>
      <c r="F16" s="30">
        <f t="shared" si="5"/>
        <v>335.04</v>
      </c>
      <c r="G16" s="34">
        <v>5919</v>
      </c>
      <c r="H16" s="19"/>
      <c r="I16" s="9"/>
      <c r="J16" s="9"/>
      <c r="K16" s="51"/>
      <c r="L16" s="53" t="s">
        <v>44</v>
      </c>
      <c r="M16" s="54" t="s">
        <v>45</v>
      </c>
      <c r="N16" s="55"/>
      <c r="O16" s="55"/>
      <c r="P16" s="54"/>
    </row>
    <row r="17" spans="1:16" s="1" customFormat="1" ht="18" customHeight="1">
      <c r="A17" s="29">
        <v>43831</v>
      </c>
      <c r="B17" s="30">
        <f t="shared" si="4"/>
        <v>159173.97</v>
      </c>
      <c r="C17" s="31"/>
      <c r="D17" s="32" t="s">
        <v>39</v>
      </c>
      <c r="E17" s="33">
        <v>0.13</v>
      </c>
      <c r="F17" s="30">
        <f t="shared" si="5"/>
        <v>20692.62</v>
      </c>
      <c r="G17" s="34">
        <f>89988.14+89878.45</f>
        <v>179866.59</v>
      </c>
      <c r="H17" s="19">
        <v>43780</v>
      </c>
      <c r="I17" s="9">
        <v>180000</v>
      </c>
      <c r="J17" s="9"/>
      <c r="K17" s="51" t="s">
        <v>21</v>
      </c>
      <c r="L17" s="53" t="s">
        <v>46</v>
      </c>
      <c r="M17" s="54" t="s">
        <v>47</v>
      </c>
      <c r="N17" s="55" t="s">
        <v>48</v>
      </c>
      <c r="O17" s="56" t="s">
        <v>49</v>
      </c>
      <c r="P17" s="54"/>
    </row>
    <row r="18" spans="1:16" s="1" customFormat="1" ht="18" customHeight="1">
      <c r="A18" s="29"/>
      <c r="B18" s="30"/>
      <c r="C18" s="31"/>
      <c r="D18" s="32"/>
      <c r="E18" s="33"/>
      <c r="F18" s="30"/>
      <c r="G18" s="34"/>
      <c r="H18" s="19"/>
      <c r="I18" s="9"/>
      <c r="J18" s="9">
        <v>180000</v>
      </c>
      <c r="K18" s="51" t="s">
        <v>50</v>
      </c>
      <c r="L18" s="53" t="s">
        <v>51</v>
      </c>
      <c r="M18" s="54"/>
      <c r="N18" s="55"/>
      <c r="O18" s="56"/>
      <c r="P18" s="54"/>
    </row>
    <row r="19" spans="1:16" s="1" customFormat="1" ht="18" customHeight="1">
      <c r="A19" s="29">
        <v>43831</v>
      </c>
      <c r="B19" s="30">
        <f t="shared" ref="B19:B27" si="6">ROUND(G19/(1+E19),2)</f>
        <v>25412.39</v>
      </c>
      <c r="C19" s="31"/>
      <c r="D19" s="32" t="s">
        <v>39</v>
      </c>
      <c r="E19" s="33">
        <v>0.13</v>
      </c>
      <c r="F19" s="30">
        <f t="shared" ref="F19:F27" si="7">ROUND(G19/(1+E19)*E19,2)</f>
        <v>3303.61</v>
      </c>
      <c r="G19" s="34">
        <v>28716</v>
      </c>
      <c r="H19" s="19">
        <v>43832</v>
      </c>
      <c r="I19" s="9">
        <v>28716</v>
      </c>
      <c r="J19" s="9"/>
      <c r="K19" s="51" t="s">
        <v>21</v>
      </c>
      <c r="L19" s="53" t="s">
        <v>52</v>
      </c>
      <c r="M19" s="54" t="s">
        <v>53</v>
      </c>
      <c r="N19" s="55" t="s">
        <v>48</v>
      </c>
      <c r="O19" s="56" t="s">
        <v>49</v>
      </c>
      <c r="P19" s="54"/>
    </row>
    <row r="20" spans="1:16" s="1" customFormat="1" ht="18" customHeight="1">
      <c r="A20" s="29"/>
      <c r="B20" s="30"/>
      <c r="C20" s="31"/>
      <c r="D20" s="32"/>
      <c r="E20" s="33"/>
      <c r="F20" s="30"/>
      <c r="G20" s="34"/>
      <c r="H20" s="19"/>
      <c r="I20" s="9"/>
      <c r="J20" s="9">
        <v>28716</v>
      </c>
      <c r="K20" s="51" t="s">
        <v>50</v>
      </c>
      <c r="L20" s="53" t="s">
        <v>51</v>
      </c>
      <c r="M20" s="54"/>
      <c r="N20" s="55"/>
      <c r="O20" s="56"/>
      <c r="P20" s="54"/>
    </row>
    <row r="21" spans="1:16" s="1" customFormat="1" ht="18" customHeight="1">
      <c r="A21" s="29">
        <v>43831</v>
      </c>
      <c r="B21" s="30">
        <f t="shared" si="6"/>
        <v>69930</v>
      </c>
      <c r="C21" s="31"/>
      <c r="D21" s="32" t="s">
        <v>54</v>
      </c>
      <c r="E21" s="35"/>
      <c r="F21" s="30">
        <f t="shared" si="7"/>
        <v>0</v>
      </c>
      <c r="G21" s="34">
        <f>2250+5850+61830</f>
        <v>69930</v>
      </c>
      <c r="H21" s="19"/>
      <c r="I21" s="9"/>
      <c r="J21" s="9"/>
      <c r="K21" s="51"/>
      <c r="L21" s="57" t="s">
        <v>55</v>
      </c>
      <c r="M21" s="54" t="s">
        <v>56</v>
      </c>
      <c r="N21" s="56" t="s">
        <v>57</v>
      </c>
      <c r="O21" s="56" t="s">
        <v>49</v>
      </c>
      <c r="P21" s="54"/>
    </row>
    <row r="22" spans="1:16" s="1" customFormat="1" ht="18" customHeight="1">
      <c r="A22" s="29">
        <v>43831</v>
      </c>
      <c r="B22" s="30">
        <f t="shared" si="6"/>
        <v>2000</v>
      </c>
      <c r="C22" s="31"/>
      <c r="D22" s="32" t="s">
        <v>54</v>
      </c>
      <c r="E22" s="35"/>
      <c r="F22" s="30">
        <f t="shared" si="7"/>
        <v>0</v>
      </c>
      <c r="G22" s="22">
        <v>2000</v>
      </c>
      <c r="H22" s="19"/>
      <c r="I22" s="9"/>
      <c r="J22" s="9"/>
      <c r="K22" s="51"/>
      <c r="L22" s="57" t="s">
        <v>42</v>
      </c>
      <c r="M22" s="54" t="s">
        <v>43</v>
      </c>
      <c r="N22" s="55"/>
      <c r="O22" s="55"/>
      <c r="P22" s="54"/>
    </row>
    <row r="23" spans="1:16" s="1" customFormat="1" ht="18" customHeight="1">
      <c r="A23" s="29">
        <v>43831</v>
      </c>
      <c r="B23" s="30">
        <f t="shared" si="6"/>
        <v>178250.23</v>
      </c>
      <c r="C23" s="31"/>
      <c r="D23" s="32" t="s">
        <v>39</v>
      </c>
      <c r="E23" s="33">
        <v>0.13</v>
      </c>
      <c r="F23" s="30">
        <f t="shared" si="7"/>
        <v>23172.53</v>
      </c>
      <c r="G23" s="22">
        <f>100711.38*2</f>
        <v>201422.76</v>
      </c>
      <c r="H23" s="19"/>
      <c r="I23" s="9"/>
      <c r="J23" s="9"/>
      <c r="K23" s="51"/>
      <c r="L23" s="57" t="s">
        <v>58</v>
      </c>
      <c r="M23" s="54" t="s">
        <v>59</v>
      </c>
      <c r="N23" s="55" t="s">
        <v>48</v>
      </c>
      <c r="O23" s="55"/>
      <c r="P23" s="54"/>
    </row>
    <row r="24" spans="1:16" s="1" customFormat="1" ht="18" customHeight="1">
      <c r="A24" s="29"/>
      <c r="B24" s="30">
        <f t="shared" si="6"/>
        <v>0</v>
      </c>
      <c r="C24" s="31"/>
      <c r="D24" s="32"/>
      <c r="E24" s="35"/>
      <c r="F24" s="30">
        <f t="shared" si="7"/>
        <v>0</v>
      </c>
      <c r="G24" s="22"/>
      <c r="H24" s="19">
        <v>43853</v>
      </c>
      <c r="I24" s="9">
        <v>200000</v>
      </c>
      <c r="J24" s="9"/>
      <c r="K24" s="51" t="s">
        <v>21</v>
      </c>
      <c r="L24" s="57" t="s">
        <v>58</v>
      </c>
      <c r="M24" s="54" t="s">
        <v>60</v>
      </c>
      <c r="N24" s="55"/>
      <c r="O24" s="55"/>
      <c r="P24" s="54"/>
    </row>
    <row r="25" spans="1:16" s="1" customFormat="1" ht="18" customHeight="1">
      <c r="A25" s="29"/>
      <c r="B25" s="30">
        <f t="shared" si="6"/>
        <v>0</v>
      </c>
      <c r="C25" s="31"/>
      <c r="E25" s="35"/>
      <c r="F25" s="30">
        <f t="shared" si="7"/>
        <v>0</v>
      </c>
      <c r="G25" s="22"/>
      <c r="H25" s="19">
        <v>43853</v>
      </c>
      <c r="I25" s="9"/>
      <c r="J25" s="9">
        <v>-208716</v>
      </c>
      <c r="K25" s="51" t="s">
        <v>50</v>
      </c>
      <c r="L25" s="57" t="s">
        <v>51</v>
      </c>
      <c r="M25" s="54" t="s">
        <v>61</v>
      </c>
      <c r="N25" s="55"/>
      <c r="O25" s="55"/>
      <c r="P25" s="54"/>
    </row>
    <row r="26" spans="1:16" s="1" customFormat="1" ht="18" customHeight="1">
      <c r="A26" s="29"/>
      <c r="B26" s="30">
        <f t="shared" si="6"/>
        <v>0</v>
      </c>
      <c r="C26" s="31"/>
      <c r="D26" s="32"/>
      <c r="E26" s="35"/>
      <c r="F26" s="30">
        <f t="shared" si="7"/>
        <v>0</v>
      </c>
      <c r="G26" s="22"/>
      <c r="H26" s="19">
        <v>43853</v>
      </c>
      <c r="I26" s="9">
        <v>28699</v>
      </c>
      <c r="J26" s="9"/>
      <c r="K26" s="51" t="s">
        <v>50</v>
      </c>
      <c r="L26" s="57" t="s">
        <v>51</v>
      </c>
      <c r="M26" s="54" t="s">
        <v>62</v>
      </c>
      <c r="N26" s="55"/>
      <c r="O26" s="55"/>
      <c r="P26" s="54"/>
    </row>
    <row r="27" spans="1:16" s="1" customFormat="1" ht="18" customHeight="1">
      <c r="A27" s="29">
        <v>43891</v>
      </c>
      <c r="B27" s="30">
        <f t="shared" si="6"/>
        <v>5080</v>
      </c>
      <c r="C27" s="31"/>
      <c r="D27" s="32" t="s">
        <v>54</v>
      </c>
      <c r="E27" s="35"/>
      <c r="F27" s="30">
        <f t="shared" si="7"/>
        <v>0</v>
      </c>
      <c r="G27" s="22">
        <v>5080</v>
      </c>
      <c r="H27" s="19"/>
      <c r="I27" s="9"/>
      <c r="J27" s="9"/>
      <c r="K27" s="51"/>
      <c r="L27" s="57" t="s">
        <v>63</v>
      </c>
      <c r="M27" s="54" t="s">
        <v>64</v>
      </c>
      <c r="N27" s="55"/>
      <c r="O27" s="55"/>
      <c r="P27" s="58" t="s">
        <v>65</v>
      </c>
    </row>
    <row r="28" spans="1:16" s="1" customFormat="1" ht="18" customHeight="1">
      <c r="A28" s="29">
        <v>43952</v>
      </c>
      <c r="B28" s="30">
        <f t="shared" ref="B28:B54" si="8">ROUND(G28/(1+E28),2)</f>
        <v>46000</v>
      </c>
      <c r="C28" s="31"/>
      <c r="D28" s="32" t="s">
        <v>54</v>
      </c>
      <c r="E28" s="35"/>
      <c r="F28" s="30">
        <f t="shared" ref="F28:F58" si="9">ROUND(G28/(1+E28)*E28,2)</f>
        <v>0</v>
      </c>
      <c r="G28" s="22">
        <v>46000</v>
      </c>
      <c r="H28" s="19"/>
      <c r="I28" s="9"/>
      <c r="J28" s="9"/>
      <c r="K28" s="51"/>
      <c r="L28" s="57" t="s">
        <v>66</v>
      </c>
      <c r="M28" s="54" t="s">
        <v>67</v>
      </c>
      <c r="N28" s="55"/>
      <c r="O28" s="55"/>
      <c r="P28" s="70"/>
    </row>
    <row r="29" spans="1:16" s="1" customFormat="1" ht="18" customHeight="1">
      <c r="A29" s="29">
        <v>43952</v>
      </c>
      <c r="B29" s="30">
        <f t="shared" si="8"/>
        <v>180000</v>
      </c>
      <c r="C29" s="31"/>
      <c r="D29" s="32" t="s">
        <v>54</v>
      </c>
      <c r="E29" s="35"/>
      <c r="F29" s="30">
        <f t="shared" si="9"/>
        <v>0</v>
      </c>
      <c r="G29" s="22">
        <v>180000</v>
      </c>
      <c r="H29" s="19"/>
      <c r="I29" s="9"/>
      <c r="J29" s="9"/>
      <c r="K29" s="51"/>
      <c r="L29" s="57" t="s">
        <v>68</v>
      </c>
      <c r="M29" s="54" t="s">
        <v>69</v>
      </c>
      <c r="N29" s="55" t="s">
        <v>48</v>
      </c>
      <c r="O29" s="55"/>
      <c r="P29" s="70" t="s">
        <v>70</v>
      </c>
    </row>
    <row r="30" spans="1:16" s="1" customFormat="1" ht="18" customHeight="1">
      <c r="A30" s="29"/>
      <c r="B30" s="30">
        <f t="shared" si="8"/>
        <v>0</v>
      </c>
      <c r="C30" s="31"/>
      <c r="D30" s="32"/>
      <c r="E30" s="35"/>
      <c r="F30" s="30">
        <f t="shared" si="9"/>
        <v>0</v>
      </c>
      <c r="G30" s="22"/>
      <c r="H30" s="19" t="s">
        <v>71</v>
      </c>
      <c r="I30" s="9">
        <v>5080</v>
      </c>
      <c r="J30" s="9"/>
      <c r="K30" s="51" t="s">
        <v>21</v>
      </c>
      <c r="L30" s="57" t="s">
        <v>63</v>
      </c>
      <c r="M30" s="54"/>
      <c r="N30" s="55"/>
      <c r="O30" s="55"/>
      <c r="P30" s="70"/>
    </row>
    <row r="31" spans="1:16" s="1" customFormat="1" ht="18" customHeight="1">
      <c r="A31" s="29"/>
      <c r="B31" s="30">
        <f t="shared" si="8"/>
        <v>0</v>
      </c>
      <c r="C31" s="31"/>
      <c r="D31" s="32"/>
      <c r="E31" s="35"/>
      <c r="F31" s="30">
        <f t="shared" si="9"/>
        <v>0</v>
      </c>
      <c r="G31" s="22"/>
      <c r="H31" s="19" t="s">
        <v>71</v>
      </c>
      <c r="I31" s="9">
        <v>69930</v>
      </c>
      <c r="J31" s="9"/>
      <c r="K31" s="51" t="s">
        <v>21</v>
      </c>
      <c r="L31" s="57" t="s">
        <v>72</v>
      </c>
      <c r="M31" s="54"/>
      <c r="N31" s="55"/>
      <c r="O31" s="55"/>
      <c r="P31" s="70"/>
    </row>
    <row r="32" spans="1:16" s="1" customFormat="1" ht="18" customHeight="1">
      <c r="A32" s="29"/>
      <c r="B32" s="30">
        <f t="shared" si="8"/>
        <v>0</v>
      </c>
      <c r="C32" s="31"/>
      <c r="D32" s="32"/>
      <c r="E32" s="35"/>
      <c r="F32" s="30">
        <f t="shared" si="9"/>
        <v>0</v>
      </c>
      <c r="G32" s="22"/>
      <c r="H32" s="19">
        <v>43960</v>
      </c>
      <c r="I32" s="30">
        <v>180000</v>
      </c>
      <c r="J32" s="30"/>
      <c r="K32" s="55"/>
      <c r="L32" s="57" t="s">
        <v>73</v>
      </c>
      <c r="M32" s="54" t="s">
        <v>74</v>
      </c>
      <c r="N32" s="55"/>
      <c r="O32" s="55"/>
      <c r="P32" s="70"/>
    </row>
    <row r="33" spans="1:16" s="1" customFormat="1" ht="18" customHeight="1">
      <c r="A33" s="29"/>
      <c r="B33" s="30">
        <f t="shared" si="8"/>
        <v>0</v>
      </c>
      <c r="C33" s="31"/>
      <c r="D33" s="32"/>
      <c r="E33" s="35"/>
      <c r="F33" s="30">
        <f t="shared" si="9"/>
        <v>0</v>
      </c>
      <c r="G33" s="22"/>
      <c r="H33" s="19">
        <v>43960</v>
      </c>
      <c r="I33" s="30">
        <v>46000</v>
      </c>
      <c r="J33" s="30"/>
      <c r="K33" s="55"/>
      <c r="L33" s="57" t="s">
        <v>66</v>
      </c>
      <c r="M33" s="54" t="s">
        <v>75</v>
      </c>
      <c r="N33" s="55" t="s">
        <v>48</v>
      </c>
      <c r="O33" s="55"/>
      <c r="P33" s="70"/>
    </row>
    <row r="34" spans="1:16" s="1" customFormat="1" ht="18" customHeight="1">
      <c r="A34" s="29"/>
      <c r="B34" s="30">
        <f t="shared" si="8"/>
        <v>0</v>
      </c>
      <c r="C34" s="31"/>
      <c r="D34" s="32"/>
      <c r="E34" s="35"/>
      <c r="F34" s="30">
        <f t="shared" si="9"/>
        <v>0</v>
      </c>
      <c r="G34" s="22"/>
      <c r="H34" s="19">
        <v>43962</v>
      </c>
      <c r="I34" s="30"/>
      <c r="J34" s="71">
        <v>121124.66</v>
      </c>
      <c r="K34" s="55" t="s">
        <v>50</v>
      </c>
      <c r="L34" s="57" t="s">
        <v>51</v>
      </c>
      <c r="M34" s="54"/>
      <c r="N34" s="55"/>
      <c r="O34" s="55"/>
      <c r="P34" s="70"/>
    </row>
    <row r="35" spans="1:16" s="1" customFormat="1" ht="18" customHeight="1">
      <c r="A35" s="29"/>
      <c r="B35" s="30">
        <f t="shared" si="8"/>
        <v>0</v>
      </c>
      <c r="C35" s="31"/>
      <c r="D35" s="32"/>
      <c r="E35" s="35"/>
      <c r="F35" s="30">
        <f t="shared" si="9"/>
        <v>0</v>
      </c>
      <c r="G35" s="22"/>
      <c r="H35" s="19">
        <v>43965</v>
      </c>
      <c r="I35" s="30">
        <v>121124.66</v>
      </c>
      <c r="J35" s="30"/>
      <c r="K35" s="51" t="s">
        <v>21</v>
      </c>
      <c r="L35" s="57" t="s">
        <v>46</v>
      </c>
      <c r="M35" s="54" t="s">
        <v>76</v>
      </c>
      <c r="N35" s="55"/>
      <c r="O35" s="55"/>
      <c r="P35" s="70"/>
    </row>
    <row r="36" spans="1:16" s="1" customFormat="1" ht="18" customHeight="1">
      <c r="A36" s="29">
        <v>43952</v>
      </c>
      <c r="B36" s="30">
        <f t="shared" si="8"/>
        <v>107308.03</v>
      </c>
      <c r="C36" s="31"/>
      <c r="D36" s="32" t="s">
        <v>39</v>
      </c>
      <c r="E36" s="33">
        <v>0.13</v>
      </c>
      <c r="F36" s="30">
        <f t="shared" si="9"/>
        <v>13950.04</v>
      </c>
      <c r="G36" s="22">
        <v>121258.07</v>
      </c>
      <c r="H36" s="19"/>
      <c r="I36" s="30"/>
      <c r="J36" s="30"/>
      <c r="K36" s="55"/>
      <c r="L36" s="57" t="s">
        <v>46</v>
      </c>
      <c r="M36" s="54" t="s">
        <v>77</v>
      </c>
      <c r="N36" s="55"/>
      <c r="O36" s="55"/>
      <c r="P36" s="70"/>
    </row>
    <row r="37" spans="1:16" s="1" customFormat="1" ht="18" customHeight="1">
      <c r="A37" s="29">
        <v>43983</v>
      </c>
      <c r="B37" s="30">
        <f t="shared" si="8"/>
        <v>44523.72</v>
      </c>
      <c r="C37" s="31"/>
      <c r="D37" s="32"/>
      <c r="E37" s="33">
        <v>0.13</v>
      </c>
      <c r="F37" s="30">
        <f t="shared" si="9"/>
        <v>5788.08</v>
      </c>
      <c r="G37" s="22">
        <v>50311.8</v>
      </c>
      <c r="H37" s="19"/>
      <c r="I37" s="30"/>
      <c r="J37" s="30"/>
      <c r="K37" s="55"/>
      <c r="L37" s="57" t="s">
        <v>58</v>
      </c>
      <c r="M37" s="54" t="s">
        <v>78</v>
      </c>
      <c r="N37" s="55" t="s">
        <v>48</v>
      </c>
      <c r="O37" s="55"/>
      <c r="P37" s="70" t="s">
        <v>79</v>
      </c>
    </row>
    <row r="38" spans="1:16" s="1" customFormat="1" ht="18" customHeight="1">
      <c r="A38" s="66">
        <v>44013</v>
      </c>
      <c r="B38" s="9">
        <f t="shared" si="8"/>
        <v>158000</v>
      </c>
      <c r="C38" s="67" t="s">
        <v>80</v>
      </c>
      <c r="D38" s="68" t="s">
        <v>54</v>
      </c>
      <c r="E38" s="69"/>
      <c r="F38" s="9">
        <f t="shared" si="9"/>
        <v>0</v>
      </c>
      <c r="G38" s="34">
        <v>158000</v>
      </c>
      <c r="H38" s="19"/>
      <c r="I38" s="9"/>
      <c r="J38" s="9"/>
      <c r="K38" s="51"/>
      <c r="L38" s="72" t="s">
        <v>81</v>
      </c>
      <c r="M38" s="27" t="s">
        <v>82</v>
      </c>
      <c r="N38" s="55" t="s">
        <v>48</v>
      </c>
      <c r="O38" s="55"/>
      <c r="P38" s="70" t="s">
        <v>83</v>
      </c>
    </row>
    <row r="39" spans="1:16" s="1" customFormat="1" ht="18" customHeight="1">
      <c r="A39" s="29"/>
      <c r="B39" s="30">
        <f t="shared" si="8"/>
        <v>0</v>
      </c>
      <c r="C39" s="31"/>
      <c r="D39" s="32"/>
      <c r="E39" s="35"/>
      <c r="F39" s="30">
        <f t="shared" si="9"/>
        <v>0</v>
      </c>
      <c r="G39" s="22"/>
      <c r="H39" s="19">
        <v>44025</v>
      </c>
      <c r="I39" s="9">
        <v>51734.559999999998</v>
      </c>
      <c r="J39" s="9"/>
      <c r="K39" s="51" t="s">
        <v>21</v>
      </c>
      <c r="L39" s="72" t="s">
        <v>58</v>
      </c>
      <c r="M39" s="54" t="s">
        <v>84</v>
      </c>
      <c r="N39" s="55"/>
      <c r="O39" s="55"/>
      <c r="P39" s="70"/>
    </row>
    <row r="40" spans="1:16" s="1" customFormat="1" ht="18" customHeight="1">
      <c r="A40" s="29">
        <v>44197</v>
      </c>
      <c r="B40" s="30">
        <f t="shared" si="8"/>
        <v>370000</v>
      </c>
      <c r="C40" s="31" t="s">
        <v>85</v>
      </c>
      <c r="D40" s="32" t="s">
        <v>54</v>
      </c>
      <c r="E40" s="35"/>
      <c r="F40" s="30">
        <f t="shared" si="9"/>
        <v>0</v>
      </c>
      <c r="G40" s="22">
        <v>370000</v>
      </c>
      <c r="H40" s="19"/>
      <c r="I40" s="9"/>
      <c r="J40" s="9"/>
      <c r="K40" s="51"/>
      <c r="L40" s="72" t="s">
        <v>81</v>
      </c>
      <c r="M40" s="54" t="s">
        <v>86</v>
      </c>
      <c r="N40" s="55" t="s">
        <v>48</v>
      </c>
      <c r="O40" s="55"/>
      <c r="P40" s="70" t="s">
        <v>87</v>
      </c>
    </row>
    <row r="41" spans="1:16" s="1" customFormat="1" ht="18" customHeight="1">
      <c r="A41" s="29"/>
      <c r="B41" s="30">
        <f t="shared" si="8"/>
        <v>0</v>
      </c>
      <c r="C41" s="31"/>
      <c r="D41" s="32"/>
      <c r="E41" s="35"/>
      <c r="F41" s="30">
        <f t="shared" si="9"/>
        <v>0</v>
      </c>
      <c r="G41" s="22"/>
      <c r="H41" s="63">
        <v>44271</v>
      </c>
      <c r="I41" s="30">
        <v>370000</v>
      </c>
      <c r="J41" s="30"/>
      <c r="K41" s="55" t="s">
        <v>21</v>
      </c>
      <c r="L41" s="57" t="s">
        <v>81</v>
      </c>
      <c r="M41" s="54" t="s">
        <v>86</v>
      </c>
      <c r="N41" s="55"/>
      <c r="O41" s="55"/>
      <c r="P41" s="70"/>
    </row>
    <row r="42" spans="1:16" s="1" customFormat="1" ht="18" customHeight="1">
      <c r="A42" s="29"/>
      <c r="B42" s="30">
        <f t="shared" si="8"/>
        <v>0</v>
      </c>
      <c r="C42" s="31"/>
      <c r="D42" s="32"/>
      <c r="E42" s="35"/>
      <c r="F42" s="30">
        <f t="shared" si="9"/>
        <v>0</v>
      </c>
      <c r="G42" s="22"/>
      <c r="H42" s="63">
        <v>44272</v>
      </c>
      <c r="I42" s="30">
        <v>117710.82</v>
      </c>
      <c r="J42" s="30"/>
      <c r="K42" s="55" t="s">
        <v>21</v>
      </c>
      <c r="L42" s="57" t="s">
        <v>81</v>
      </c>
      <c r="M42" s="54" t="s">
        <v>88</v>
      </c>
      <c r="N42" s="55"/>
      <c r="O42" s="55"/>
      <c r="P42" s="70"/>
    </row>
    <row r="43" spans="1:16" s="1" customFormat="1" ht="18" customHeight="1">
      <c r="A43" s="29"/>
      <c r="B43" s="30">
        <f t="shared" si="8"/>
        <v>0</v>
      </c>
      <c r="C43" s="31"/>
      <c r="D43" s="32"/>
      <c r="E43" s="35"/>
      <c r="F43" s="30">
        <f t="shared" si="9"/>
        <v>0</v>
      </c>
      <c r="G43" s="22"/>
      <c r="H43" s="63">
        <v>44973</v>
      </c>
      <c r="I43" s="30">
        <v>38493.9</v>
      </c>
      <c r="J43" s="30"/>
      <c r="K43" s="55" t="s">
        <v>21</v>
      </c>
      <c r="L43" s="57" t="s">
        <v>81</v>
      </c>
      <c r="M43" s="54" t="s">
        <v>82</v>
      </c>
      <c r="N43" s="55"/>
      <c r="O43" s="55"/>
      <c r="P43" s="70"/>
    </row>
    <row r="44" spans="1:16" s="1" customFormat="1" ht="18" customHeight="1">
      <c r="A44" s="29"/>
      <c r="B44" s="30">
        <f t="shared" ref="B44:B46" si="10">ROUND(G44/(1+E44),2)</f>
        <v>0</v>
      </c>
      <c r="C44" s="31"/>
      <c r="D44" s="32"/>
      <c r="E44" s="35"/>
      <c r="F44" s="30">
        <f t="shared" ref="F44:F46" si="11">ROUND(G44/(1+E44)*E44,2)</f>
        <v>0</v>
      </c>
      <c r="G44" s="22"/>
      <c r="H44" s="63"/>
      <c r="I44" s="30"/>
      <c r="J44" s="30"/>
      <c r="K44" s="55"/>
      <c r="L44" s="57"/>
      <c r="M44" s="54"/>
      <c r="N44" s="55"/>
      <c r="O44" s="55"/>
      <c r="P44" s="70"/>
    </row>
    <row r="45" spans="1:16" s="1" customFormat="1" ht="18" customHeight="1">
      <c r="A45" s="29"/>
      <c r="B45" s="30">
        <f t="shared" si="10"/>
        <v>0</v>
      </c>
      <c r="C45" s="31"/>
      <c r="D45" s="32"/>
      <c r="E45" s="35"/>
      <c r="F45" s="30">
        <f t="shared" si="11"/>
        <v>0</v>
      </c>
      <c r="G45" s="22"/>
      <c r="H45" s="63"/>
      <c r="I45" s="30"/>
      <c r="J45" s="30"/>
      <c r="K45" s="55"/>
      <c r="L45" s="57"/>
      <c r="M45" s="54"/>
      <c r="N45" s="55"/>
      <c r="O45" s="55"/>
      <c r="P45" s="70"/>
    </row>
    <row r="46" spans="1:16" s="1" customFormat="1" ht="18" customHeight="1">
      <c r="A46" s="29"/>
      <c r="B46" s="30">
        <f t="shared" si="10"/>
        <v>0</v>
      </c>
      <c r="C46" s="31"/>
      <c r="D46" s="32"/>
      <c r="E46" s="35"/>
      <c r="F46" s="30">
        <f t="shared" si="11"/>
        <v>0</v>
      </c>
      <c r="G46" s="22"/>
      <c r="H46" s="63"/>
      <c r="I46" s="30"/>
      <c r="J46" s="30"/>
      <c r="K46" s="55"/>
      <c r="L46" s="57"/>
      <c r="M46" s="54"/>
      <c r="N46" s="55"/>
      <c r="O46" s="55"/>
      <c r="P46" s="70"/>
    </row>
    <row r="47" spans="1:16" s="1" customFormat="1" ht="18" customHeight="1">
      <c r="A47" s="29"/>
      <c r="B47" s="30">
        <f t="shared" si="8"/>
        <v>0</v>
      </c>
      <c r="C47" s="31"/>
      <c r="D47" s="32"/>
      <c r="E47" s="35"/>
      <c r="F47" s="30">
        <f t="shared" si="9"/>
        <v>0</v>
      </c>
      <c r="G47" s="22"/>
      <c r="H47" s="63"/>
      <c r="I47" s="30"/>
      <c r="J47" s="30"/>
      <c r="K47" s="55"/>
      <c r="L47" s="57"/>
      <c r="M47" s="54"/>
      <c r="N47" s="55"/>
      <c r="O47" s="55"/>
      <c r="P47" s="70"/>
    </row>
    <row r="48" spans="1:16" s="1" customFormat="1" ht="18" customHeight="1">
      <c r="A48" s="29"/>
      <c r="B48" s="30">
        <f t="shared" si="8"/>
        <v>0</v>
      </c>
      <c r="C48" s="31"/>
      <c r="D48" s="32"/>
      <c r="E48" s="35"/>
      <c r="F48" s="30">
        <f t="shared" si="9"/>
        <v>0</v>
      </c>
      <c r="G48" s="22"/>
      <c r="H48" s="63"/>
      <c r="I48" s="30"/>
      <c r="J48" s="30"/>
      <c r="K48" s="55"/>
      <c r="L48" s="57"/>
      <c r="M48" s="54"/>
      <c r="N48" s="55"/>
      <c r="O48" s="55"/>
      <c r="P48" s="70"/>
    </row>
    <row r="49" spans="1:16" s="1" customFormat="1" ht="18" customHeight="1">
      <c r="A49" s="29"/>
      <c r="B49" s="30">
        <f t="shared" si="8"/>
        <v>0</v>
      </c>
      <c r="C49" s="31"/>
      <c r="D49" s="32"/>
      <c r="E49" s="35"/>
      <c r="F49" s="30">
        <f t="shared" si="9"/>
        <v>0</v>
      </c>
      <c r="G49" s="22"/>
      <c r="H49" s="63"/>
      <c r="I49" s="30"/>
      <c r="J49" s="30"/>
      <c r="K49" s="55"/>
      <c r="L49" s="57"/>
      <c r="M49" s="54"/>
      <c r="N49" s="55"/>
      <c r="O49" s="55"/>
      <c r="P49" s="70"/>
    </row>
    <row r="50" spans="1:16" s="1" customFormat="1" ht="18" customHeight="1">
      <c r="A50" s="29"/>
      <c r="B50" s="30">
        <f t="shared" si="8"/>
        <v>0</v>
      </c>
      <c r="C50" s="31"/>
      <c r="D50" s="32"/>
      <c r="E50" s="35"/>
      <c r="F50" s="30">
        <f t="shared" si="9"/>
        <v>0</v>
      </c>
      <c r="G50" s="22"/>
      <c r="H50" s="63">
        <v>44973</v>
      </c>
      <c r="I50" s="30">
        <v>50</v>
      </c>
      <c r="J50" s="30"/>
      <c r="K50" s="55" t="s">
        <v>89</v>
      </c>
      <c r="L50" s="57" t="s">
        <v>90</v>
      </c>
      <c r="M50" s="54"/>
      <c r="N50" s="55"/>
      <c r="O50" s="55"/>
      <c r="P50" s="70"/>
    </row>
    <row r="51" spans="1:16" s="1" customFormat="1" ht="18" customHeight="1">
      <c r="A51" s="29"/>
      <c r="B51" s="30">
        <f t="shared" si="8"/>
        <v>0</v>
      </c>
      <c r="C51" s="31"/>
      <c r="D51" s="32"/>
      <c r="E51" s="35"/>
      <c r="F51" s="30">
        <f t="shared" si="9"/>
        <v>0</v>
      </c>
      <c r="G51" s="22"/>
      <c r="H51" s="63">
        <v>44973</v>
      </c>
      <c r="I51" s="30">
        <v>676.78527999999994</v>
      </c>
      <c r="J51" s="30"/>
      <c r="K51" s="55" t="s">
        <v>89</v>
      </c>
      <c r="L51" s="53" t="s">
        <v>91</v>
      </c>
      <c r="M51" s="54"/>
      <c r="N51" s="55"/>
      <c r="O51" s="55"/>
      <c r="P51" s="70"/>
    </row>
    <row r="52" spans="1:16" s="1" customFormat="1" ht="18" customHeight="1">
      <c r="A52" s="29"/>
      <c r="B52" s="30">
        <f t="shared" si="8"/>
        <v>0</v>
      </c>
      <c r="C52" s="31"/>
      <c r="D52" s="32"/>
      <c r="E52" s="35"/>
      <c r="F52" s="30">
        <f t="shared" si="9"/>
        <v>0</v>
      </c>
      <c r="G52" s="22"/>
      <c r="H52" s="63">
        <v>44973</v>
      </c>
      <c r="I52" s="30">
        <v>3042.42</v>
      </c>
      <c r="J52" s="30"/>
      <c r="K52" s="55" t="s">
        <v>89</v>
      </c>
      <c r="L52" s="57" t="s">
        <v>92</v>
      </c>
      <c r="M52" s="54"/>
      <c r="N52" s="55"/>
      <c r="O52" s="55"/>
      <c r="P52" s="70"/>
    </row>
    <row r="53" spans="1:16" s="1" customFormat="1" ht="18" customHeight="1">
      <c r="A53" s="29"/>
      <c r="B53" s="30">
        <f t="shared" si="8"/>
        <v>0</v>
      </c>
      <c r="C53" s="31"/>
      <c r="D53" s="32"/>
      <c r="E53" s="35"/>
      <c r="F53" s="30">
        <f t="shared" si="9"/>
        <v>0</v>
      </c>
      <c r="G53" s="22"/>
      <c r="H53" s="63">
        <v>44973</v>
      </c>
      <c r="I53" s="30">
        <v>35.973621247706397</v>
      </c>
      <c r="J53" s="30"/>
      <c r="K53" s="55" t="s">
        <v>89</v>
      </c>
      <c r="L53" s="57" t="s">
        <v>93</v>
      </c>
      <c r="M53" s="54"/>
      <c r="N53" s="55"/>
      <c r="O53" s="55"/>
      <c r="P53" s="70"/>
    </row>
    <row r="54" spans="1:16" s="1" customFormat="1" ht="18" customHeight="1">
      <c r="A54" s="29"/>
      <c r="B54" s="30">
        <f t="shared" si="8"/>
        <v>0</v>
      </c>
      <c r="C54" s="31"/>
      <c r="D54" s="32"/>
      <c r="E54" s="35"/>
      <c r="F54" s="30">
        <f t="shared" si="9"/>
        <v>0</v>
      </c>
      <c r="G54" s="22"/>
      <c r="H54" s="63">
        <v>44260</v>
      </c>
      <c r="I54" s="30">
        <v>464</v>
      </c>
      <c r="J54" s="30"/>
      <c r="K54" s="55" t="s">
        <v>94</v>
      </c>
      <c r="L54" s="57" t="s">
        <v>95</v>
      </c>
      <c r="M54" s="54"/>
      <c r="N54" s="55"/>
      <c r="O54" s="55"/>
      <c r="P54" s="70"/>
    </row>
    <row r="55" spans="1:16" s="1" customFormat="1" ht="18" customHeight="1">
      <c r="A55" s="29"/>
      <c r="B55" s="30">
        <f t="shared" ref="B55:B57" si="12">ROUND(G55/(1+E55),2)</f>
        <v>0</v>
      </c>
      <c r="C55" s="31"/>
      <c r="D55" s="32"/>
      <c r="E55" s="35"/>
      <c r="F55" s="30">
        <f t="shared" si="9"/>
        <v>0</v>
      </c>
      <c r="G55" s="22"/>
      <c r="H55" s="19">
        <v>44257</v>
      </c>
      <c r="I55" s="9">
        <v>200</v>
      </c>
      <c r="J55" s="9"/>
      <c r="K55" s="55" t="s">
        <v>89</v>
      </c>
      <c r="L55" s="53" t="s">
        <v>96</v>
      </c>
      <c r="M55" s="54"/>
      <c r="N55" s="55"/>
      <c r="O55" s="55"/>
      <c r="P55" s="70"/>
    </row>
    <row r="56" spans="1:16" s="1" customFormat="1" ht="18" customHeight="1">
      <c r="A56" s="29"/>
      <c r="B56" s="9">
        <f t="shared" si="12"/>
        <v>0</v>
      </c>
      <c r="C56" s="31"/>
      <c r="D56" s="32"/>
      <c r="E56" s="35"/>
      <c r="F56" s="30">
        <f t="shared" si="9"/>
        <v>0</v>
      </c>
      <c r="G56" s="22"/>
      <c r="H56" s="19">
        <v>44257</v>
      </c>
      <c r="I56" s="9">
        <v>500</v>
      </c>
      <c r="J56" s="9"/>
      <c r="K56" s="55" t="s">
        <v>89</v>
      </c>
      <c r="L56" s="72" t="s">
        <v>97</v>
      </c>
      <c r="M56" s="54"/>
      <c r="N56" s="55"/>
      <c r="O56" s="55"/>
      <c r="P56" s="70"/>
    </row>
    <row r="57" spans="1:16" s="1" customFormat="1" ht="18" customHeight="1">
      <c r="A57" s="29"/>
      <c r="B57" s="30">
        <f t="shared" si="12"/>
        <v>4396.24</v>
      </c>
      <c r="C57" s="31"/>
      <c r="D57" s="32"/>
      <c r="E57" s="35"/>
      <c r="F57" s="30">
        <f t="shared" si="9"/>
        <v>0</v>
      </c>
      <c r="G57" s="22">
        <v>4396.24</v>
      </c>
      <c r="H57" s="19">
        <v>44257</v>
      </c>
      <c r="I57" s="9">
        <v>4396.24</v>
      </c>
      <c r="J57" s="9"/>
      <c r="K57" s="55" t="s">
        <v>89</v>
      </c>
      <c r="L57" s="72" t="s">
        <v>98</v>
      </c>
      <c r="M57" s="54"/>
      <c r="N57" s="55"/>
      <c r="O57" s="55"/>
      <c r="P57" s="70"/>
    </row>
    <row r="58" spans="1:16" s="1" customFormat="1" ht="18" customHeight="1">
      <c r="A58" s="29"/>
      <c r="B58" s="30"/>
      <c r="C58" s="31"/>
      <c r="D58" s="32"/>
      <c r="E58" s="35"/>
      <c r="F58" s="30">
        <f t="shared" si="9"/>
        <v>0</v>
      </c>
      <c r="G58" s="22"/>
      <c r="H58" s="19">
        <v>44257</v>
      </c>
      <c r="I58" s="9">
        <v>212.5</v>
      </c>
      <c r="J58" s="9"/>
      <c r="K58" s="55" t="s">
        <v>89</v>
      </c>
      <c r="L58" s="72" t="s">
        <v>99</v>
      </c>
      <c r="M58" s="54"/>
      <c r="N58" s="55"/>
      <c r="O58" s="55"/>
      <c r="P58" s="70"/>
    </row>
    <row r="59" spans="1:16" s="1" customFormat="1" ht="18" customHeight="1">
      <c r="A59" s="29"/>
      <c r="B59" s="30">
        <f>ROUND(G59/(1+E59),2)</f>
        <v>0</v>
      </c>
      <c r="C59" s="31"/>
      <c r="D59" s="32"/>
      <c r="E59" s="35"/>
      <c r="F59" s="30">
        <f t="shared" ref="F59:F66" si="13">ROUND(G59/(1+E59)*E59,2)</f>
        <v>0</v>
      </c>
      <c r="G59" s="22"/>
      <c r="H59" s="19">
        <v>44257</v>
      </c>
      <c r="I59" s="30">
        <v>7247.67</v>
      </c>
      <c r="J59" s="30"/>
      <c r="K59" s="55" t="s">
        <v>89</v>
      </c>
      <c r="L59" s="53" t="s">
        <v>91</v>
      </c>
      <c r="M59" s="54"/>
      <c r="N59" s="55"/>
      <c r="O59" s="55"/>
      <c r="P59" s="70"/>
    </row>
    <row r="60" spans="1:16" s="1" customFormat="1" ht="18" customHeight="1">
      <c r="A60" s="29"/>
      <c r="B60" s="30">
        <f>ROUND(G60/(1+E60),2)</f>
        <v>0</v>
      </c>
      <c r="C60" s="31"/>
      <c r="D60" s="32"/>
      <c r="E60" s="35"/>
      <c r="F60" s="30">
        <f t="shared" si="13"/>
        <v>0</v>
      </c>
      <c r="G60" s="22"/>
      <c r="H60" s="19">
        <v>44257</v>
      </c>
      <c r="I60" s="30">
        <v>10474.57</v>
      </c>
      <c r="J60" s="30"/>
      <c r="K60" s="55" t="s">
        <v>89</v>
      </c>
      <c r="L60" s="53" t="s">
        <v>100</v>
      </c>
      <c r="M60" s="54"/>
      <c r="N60" s="55"/>
      <c r="O60" s="55"/>
      <c r="P60" s="73"/>
    </row>
    <row r="61" spans="1:16" s="1" customFormat="1" ht="18" customHeight="1">
      <c r="A61" s="29"/>
      <c r="B61" s="30">
        <f t="shared" ref="B61:B65" si="14">ROUND(G61/(1+E61),2)</f>
        <v>0</v>
      </c>
      <c r="C61" s="31"/>
      <c r="D61" s="32"/>
      <c r="E61" s="35"/>
      <c r="F61" s="30">
        <f t="shared" si="13"/>
        <v>0</v>
      </c>
      <c r="G61" s="22"/>
      <c r="H61" s="19" t="s">
        <v>101</v>
      </c>
      <c r="I61" s="30">
        <v>50</v>
      </c>
      <c r="J61" s="30"/>
      <c r="K61" s="55" t="s">
        <v>89</v>
      </c>
      <c r="L61" s="53" t="s">
        <v>96</v>
      </c>
      <c r="M61" s="54"/>
      <c r="N61" s="55"/>
      <c r="O61" s="55"/>
      <c r="P61" s="70"/>
    </row>
    <row r="62" spans="1:16" s="1" customFormat="1" ht="18" customHeight="1">
      <c r="A62" s="29"/>
      <c r="B62" s="30">
        <f t="shared" si="14"/>
        <v>0</v>
      </c>
      <c r="C62" s="31"/>
      <c r="D62" s="32"/>
      <c r="E62" s="35"/>
      <c r="F62" s="30">
        <f t="shared" si="13"/>
        <v>0</v>
      </c>
      <c r="G62" s="22"/>
      <c r="H62" s="19" t="s">
        <v>101</v>
      </c>
      <c r="I62" s="30">
        <v>-84000</v>
      </c>
      <c r="J62" s="30"/>
      <c r="K62" s="55" t="s">
        <v>102</v>
      </c>
      <c r="L62" s="57" t="s">
        <v>103</v>
      </c>
      <c r="M62" s="54"/>
      <c r="N62" s="55"/>
      <c r="O62" s="55"/>
      <c r="P62" s="70"/>
    </row>
    <row r="63" spans="1:16" s="1" customFormat="1" ht="18" customHeight="1">
      <c r="A63" s="29"/>
      <c r="B63" s="30">
        <f t="shared" si="14"/>
        <v>0</v>
      </c>
      <c r="C63" s="31"/>
      <c r="D63" s="32"/>
      <c r="E63" s="35"/>
      <c r="F63" s="30">
        <f t="shared" si="13"/>
        <v>0</v>
      </c>
      <c r="G63" s="22"/>
      <c r="H63" s="19" t="s">
        <v>104</v>
      </c>
      <c r="I63" s="30">
        <v>100</v>
      </c>
      <c r="J63" s="30"/>
      <c r="K63" s="55" t="s">
        <v>89</v>
      </c>
      <c r="L63" s="53" t="s">
        <v>96</v>
      </c>
      <c r="M63" s="54"/>
      <c r="N63" s="55"/>
      <c r="O63" s="55"/>
      <c r="P63" s="70"/>
    </row>
    <row r="64" spans="1:16" s="1" customFormat="1" ht="18" customHeight="1">
      <c r="A64" s="29"/>
      <c r="B64" s="30">
        <f t="shared" si="14"/>
        <v>0</v>
      </c>
      <c r="C64" s="31"/>
      <c r="D64" s="32"/>
      <c r="E64" s="35"/>
      <c r="F64" s="30">
        <f t="shared" si="13"/>
        <v>0</v>
      </c>
      <c r="G64" s="22"/>
      <c r="H64" s="19" t="s">
        <v>71</v>
      </c>
      <c r="I64" s="30">
        <v>150</v>
      </c>
      <c r="J64" s="9"/>
      <c r="K64" s="51" t="s">
        <v>89</v>
      </c>
      <c r="L64" s="53" t="s">
        <v>96</v>
      </c>
      <c r="M64" s="54"/>
      <c r="N64" s="55"/>
      <c r="O64" s="55"/>
      <c r="P64" s="54"/>
    </row>
    <row r="65" spans="1:16" s="1" customFormat="1" ht="18" customHeight="1">
      <c r="A65" s="29"/>
      <c r="B65" s="30">
        <f t="shared" si="14"/>
        <v>0</v>
      </c>
      <c r="C65" s="31"/>
      <c r="D65" s="32"/>
      <c r="E65" s="35"/>
      <c r="F65" s="30">
        <f t="shared" si="13"/>
        <v>0</v>
      </c>
      <c r="G65" s="22"/>
      <c r="H65" s="19" t="s">
        <v>71</v>
      </c>
      <c r="I65" s="9">
        <v>100</v>
      </c>
      <c r="J65" s="59"/>
      <c r="K65" s="51" t="s">
        <v>89</v>
      </c>
      <c r="L65" s="53" t="s">
        <v>96</v>
      </c>
      <c r="M65" s="54"/>
      <c r="N65" s="55"/>
      <c r="O65" s="55"/>
      <c r="P65" s="54"/>
    </row>
    <row r="66" spans="1:16" s="1" customFormat="1" ht="18" customHeight="1">
      <c r="A66" s="29"/>
      <c r="B66" s="30">
        <f t="shared" ref="B66:B72" si="15">ROUND(G66/(1+E66),2)</f>
        <v>0</v>
      </c>
      <c r="C66" s="31"/>
      <c r="D66" s="32"/>
      <c r="E66" s="35"/>
      <c r="F66" s="30">
        <f t="shared" si="13"/>
        <v>0</v>
      </c>
      <c r="G66" s="22"/>
      <c r="H66" s="19" t="s">
        <v>71</v>
      </c>
      <c r="I66" s="9">
        <v>2020</v>
      </c>
      <c r="J66" s="59"/>
      <c r="K66" s="51" t="s">
        <v>89</v>
      </c>
      <c r="L66" s="53" t="s">
        <v>105</v>
      </c>
      <c r="M66" s="54"/>
      <c r="N66" s="55"/>
      <c r="O66" s="55"/>
      <c r="P66" s="54"/>
    </row>
    <row r="67" spans="1:16" s="1" customFormat="1" ht="18" customHeight="1">
      <c r="A67" s="29"/>
      <c r="B67" s="30">
        <f t="shared" si="15"/>
        <v>0</v>
      </c>
      <c r="C67" s="31"/>
      <c r="D67" s="32"/>
      <c r="E67" s="35"/>
      <c r="F67" s="30">
        <f t="shared" ref="F67:F72" si="16">ROUND(G67/(1+E67)*E67,2)</f>
        <v>0</v>
      </c>
      <c r="G67" s="22"/>
      <c r="H67" s="19" t="s">
        <v>71</v>
      </c>
      <c r="I67" s="9">
        <v>200</v>
      </c>
      <c r="J67" s="59"/>
      <c r="K67" s="51" t="s">
        <v>89</v>
      </c>
      <c r="L67" s="53" t="s">
        <v>96</v>
      </c>
      <c r="M67" s="54"/>
      <c r="N67" s="55"/>
      <c r="O67" s="55"/>
      <c r="P67" s="54"/>
    </row>
    <row r="68" spans="1:16" s="1" customFormat="1" ht="18" customHeight="1">
      <c r="A68" s="29"/>
      <c r="B68" s="30">
        <f t="shared" si="15"/>
        <v>30853</v>
      </c>
      <c r="C68" s="31"/>
      <c r="D68" s="32"/>
      <c r="E68" s="35"/>
      <c r="F68" s="30">
        <f t="shared" si="16"/>
        <v>0</v>
      </c>
      <c r="G68" s="22">
        <f>30853</f>
        <v>30853</v>
      </c>
      <c r="H68" s="19" t="s">
        <v>71</v>
      </c>
      <c r="I68" s="9">
        <v>6500</v>
      </c>
      <c r="J68" s="59"/>
      <c r="K68" s="51" t="s">
        <v>89</v>
      </c>
      <c r="L68" s="53" t="s">
        <v>106</v>
      </c>
      <c r="M68" s="54"/>
      <c r="N68" s="55"/>
      <c r="O68" s="55"/>
      <c r="P68" s="54"/>
    </row>
    <row r="69" spans="1:16" s="1" customFormat="1" ht="18" customHeight="1">
      <c r="A69" s="29"/>
      <c r="B69" s="30">
        <f t="shared" si="15"/>
        <v>0</v>
      </c>
      <c r="C69" s="31"/>
      <c r="D69" s="32"/>
      <c r="E69" s="35"/>
      <c r="F69" s="30">
        <f t="shared" si="16"/>
        <v>0</v>
      </c>
      <c r="G69" s="22"/>
      <c r="H69" s="19" t="s">
        <v>71</v>
      </c>
      <c r="I69" s="9">
        <f>G68</f>
        <v>30853</v>
      </c>
      <c r="J69" s="59"/>
      <c r="K69" s="51" t="s">
        <v>89</v>
      </c>
      <c r="L69" s="53" t="s">
        <v>107</v>
      </c>
      <c r="M69" s="54"/>
      <c r="N69" s="55"/>
      <c r="O69" s="55"/>
      <c r="P69" s="54"/>
    </row>
    <row r="70" spans="1:16" s="1" customFormat="1" ht="18" customHeight="1">
      <c r="A70" s="29"/>
      <c r="B70" s="30">
        <f t="shared" si="15"/>
        <v>0</v>
      </c>
      <c r="C70" s="31"/>
      <c r="D70" s="32"/>
      <c r="E70" s="35"/>
      <c r="F70" s="30">
        <f t="shared" si="16"/>
        <v>0</v>
      </c>
      <c r="G70" s="22"/>
      <c r="H70" s="19" t="s">
        <v>71</v>
      </c>
      <c r="I70" s="9">
        <v>84000</v>
      </c>
      <c r="J70" s="59"/>
      <c r="K70" s="51" t="s">
        <v>108</v>
      </c>
      <c r="L70" s="53" t="s">
        <v>109</v>
      </c>
      <c r="M70" s="54"/>
      <c r="N70" s="55"/>
      <c r="O70" s="55"/>
      <c r="P70" s="54"/>
    </row>
    <row r="71" spans="1:16" s="1" customFormat="1" ht="18" customHeight="1">
      <c r="A71" s="29"/>
      <c r="B71" s="30">
        <f t="shared" si="15"/>
        <v>0</v>
      </c>
      <c r="C71" s="31"/>
      <c r="D71" s="32"/>
      <c r="E71" s="35"/>
      <c r="F71" s="30">
        <f t="shared" si="16"/>
        <v>0</v>
      </c>
      <c r="G71" s="22"/>
      <c r="H71" s="19" t="s">
        <v>71</v>
      </c>
      <c r="I71" s="9">
        <v>14636</v>
      </c>
      <c r="J71" s="59"/>
      <c r="K71" s="51" t="s">
        <v>89</v>
      </c>
      <c r="L71" s="53" t="s">
        <v>91</v>
      </c>
      <c r="M71" s="54"/>
      <c r="N71" s="55"/>
      <c r="O71" s="55"/>
      <c r="P71" s="54"/>
    </row>
    <row r="72" spans="1:16" s="1" customFormat="1" ht="18" customHeight="1">
      <c r="A72" s="29"/>
      <c r="B72" s="30">
        <f t="shared" si="15"/>
        <v>0</v>
      </c>
      <c r="C72" s="31"/>
      <c r="D72" s="32"/>
      <c r="E72" s="35"/>
      <c r="F72" s="30">
        <f t="shared" si="16"/>
        <v>0</v>
      </c>
      <c r="G72" s="22"/>
      <c r="H72" s="19" t="s">
        <v>71</v>
      </c>
      <c r="I72" s="9">
        <v>11696</v>
      </c>
      <c r="J72" s="9"/>
      <c r="K72" s="51" t="s">
        <v>89</v>
      </c>
      <c r="L72" s="53" t="s">
        <v>92</v>
      </c>
      <c r="M72" s="54"/>
      <c r="N72" s="55"/>
      <c r="O72" s="55"/>
      <c r="P72" s="54"/>
    </row>
    <row r="73" spans="1:16" ht="18" customHeight="1">
      <c r="A73" s="25" t="s">
        <v>24</v>
      </c>
      <c r="B73" s="24">
        <f t="shared" ref="B73:G73" si="17">SUM(B14:B72)</f>
        <v>1406686.3</v>
      </c>
      <c r="C73" s="25"/>
      <c r="D73" s="36"/>
      <c r="E73" s="36"/>
      <c r="F73" s="26">
        <f t="shared" si="17"/>
        <v>67847.159999999989</v>
      </c>
      <c r="G73" s="37">
        <f t="shared" si="17"/>
        <v>1474533.46</v>
      </c>
      <c r="H73" s="38"/>
      <c r="I73" s="9"/>
      <c r="J73" s="76">
        <f>SUM(J14:J72)</f>
        <v>121124.66</v>
      </c>
      <c r="K73" s="60"/>
      <c r="L73" s="36"/>
      <c r="M73" s="27"/>
      <c r="N73" s="51"/>
      <c r="O73" s="51"/>
      <c r="P73" s="27"/>
    </row>
    <row r="74" spans="1:16" ht="18" customHeight="1">
      <c r="A74" s="39" t="s">
        <v>110</v>
      </c>
      <c r="B74" s="39">
        <f>B11*0.936</f>
        <v>1210762.7484770641</v>
      </c>
      <c r="C74" s="39"/>
      <c r="D74" s="40"/>
      <c r="E74" s="40"/>
      <c r="F74" s="41"/>
      <c r="G74" s="39">
        <f>G11-G73</f>
        <v>-64564.020000000019</v>
      </c>
      <c r="H74" s="18" t="s">
        <v>111</v>
      </c>
      <c r="I74" s="25">
        <f>SUM(I14:I73)</f>
        <v>1531094.0989012476</v>
      </c>
      <c r="J74" s="39"/>
      <c r="K74" s="6"/>
      <c r="L74" s="61"/>
      <c r="N74" s="62"/>
      <c r="O74" s="62"/>
    </row>
    <row r="75" spans="1:16" ht="18" customHeight="1">
      <c r="A75" s="39" t="s">
        <v>112</v>
      </c>
      <c r="B75" s="39">
        <f>B74-B73</f>
        <v>-195923.55152293597</v>
      </c>
      <c r="C75" s="39"/>
      <c r="D75" s="40"/>
      <c r="E75" s="40"/>
      <c r="F75" s="41"/>
      <c r="G75" s="41"/>
      <c r="H75" s="42"/>
      <c r="I75" s="25">
        <f>I11-I74+J73</f>
        <v>1.0987523419316858E-3</v>
      </c>
      <c r="J75" s="41"/>
      <c r="K75" s="6"/>
      <c r="L75" s="61"/>
      <c r="N75" s="62"/>
      <c r="O75" s="62"/>
    </row>
    <row r="76" spans="1:16" ht="18" customHeight="1">
      <c r="A76" s="2" t="s">
        <v>113</v>
      </c>
      <c r="C76" s="2"/>
      <c r="I76" s="41"/>
    </row>
    <row r="77" spans="1:16" ht="18" customHeight="1">
      <c r="A77" s="18" t="s">
        <v>114</v>
      </c>
      <c r="B77" s="17" t="s">
        <v>115</v>
      </c>
      <c r="C77" s="27"/>
      <c r="D77" s="18" t="s">
        <v>114</v>
      </c>
      <c r="E77" s="16" t="s">
        <v>16</v>
      </c>
      <c r="F77" s="17" t="s">
        <v>115</v>
      </c>
      <c r="G77" s="46" t="s">
        <v>116</v>
      </c>
      <c r="H77" s="9" t="s">
        <v>117</v>
      </c>
      <c r="I77" s="9" t="s">
        <v>118</v>
      </c>
    </row>
    <row r="78" spans="1:16" ht="18" customHeight="1">
      <c r="A78" s="27" t="s">
        <v>119</v>
      </c>
      <c r="B78" s="14">
        <f>(B74-B73)*0.25</f>
        <v>-48980.887880733993</v>
      </c>
      <c r="C78" s="27"/>
      <c r="D78" s="23" t="s">
        <v>120</v>
      </c>
      <c r="E78" s="18" t="s">
        <v>121</v>
      </c>
      <c r="F78" s="26">
        <f>F11-F73</f>
        <v>22701.336146789006</v>
      </c>
      <c r="G78" s="26">
        <f>F7-F14-F15-F16-F17-F19-F23</f>
        <v>10632.583853211021</v>
      </c>
      <c r="H78" s="26">
        <f>F8-F36-F37</f>
        <v>9352.2976146788988</v>
      </c>
      <c r="I78" s="26">
        <f>F9</f>
        <v>2716.4546788990829</v>
      </c>
    </row>
    <row r="79" spans="1:16" ht="18" customHeight="1">
      <c r="A79" s="27" t="s">
        <v>122</v>
      </c>
      <c r="B79" s="44" t="s">
        <v>123</v>
      </c>
      <c r="C79" s="27"/>
      <c r="D79" s="45" t="s">
        <v>124</v>
      </c>
      <c r="E79" s="11">
        <v>7.0000000000000007E-2</v>
      </c>
      <c r="F79" s="9">
        <f>F78*E79</f>
        <v>1589.0935302752307</v>
      </c>
      <c r="G79" s="9">
        <f>G78*0.05</f>
        <v>531.6291926605511</v>
      </c>
      <c r="H79" s="9">
        <f>H78*E79</f>
        <v>654.66083302752293</v>
      </c>
      <c r="I79" s="9">
        <f>I78*E79</f>
        <v>190.15182752293583</v>
      </c>
    </row>
    <row r="80" spans="1:16" ht="18" customHeight="1">
      <c r="A80" s="27" t="s">
        <v>125</v>
      </c>
      <c r="B80" s="44" t="s">
        <v>123</v>
      </c>
      <c r="C80" s="27"/>
      <c r="D80" s="45" t="s">
        <v>126</v>
      </c>
      <c r="E80" s="11">
        <v>0.03</v>
      </c>
      <c r="F80" s="9">
        <f>F78*E80</f>
        <v>681.04008440367011</v>
      </c>
      <c r="G80" s="9">
        <f>G78*E80</f>
        <v>318.97751559633065</v>
      </c>
      <c r="H80" s="9">
        <f>H78*E80</f>
        <v>280.56892844036696</v>
      </c>
      <c r="I80" s="9">
        <f>I78*E80</f>
        <v>81.493640366972485</v>
      </c>
    </row>
    <row r="81" spans="1:9" ht="18" customHeight="1">
      <c r="A81" s="27"/>
      <c r="B81" s="46"/>
      <c r="C81" s="27"/>
      <c r="D81" s="45" t="s">
        <v>127</v>
      </c>
      <c r="E81" s="11">
        <v>0.02</v>
      </c>
      <c r="F81" s="9">
        <f>F78*E81</f>
        <v>454.02672293578013</v>
      </c>
      <c r="G81" s="9">
        <f>G78*E81</f>
        <v>212.65167706422042</v>
      </c>
      <c r="H81" s="9">
        <f>H78*E81</f>
        <v>187.04595229357798</v>
      </c>
      <c r="I81" s="9">
        <f>I78*E81</f>
        <v>54.329093577981659</v>
      </c>
    </row>
    <row r="82" spans="1:9" ht="18" customHeight="1">
      <c r="A82" s="23" t="s">
        <v>128</v>
      </c>
      <c r="B82" s="47">
        <f>SUM(B78:B81)</f>
        <v>-48980.887880733993</v>
      </c>
      <c r="C82" s="27"/>
      <c r="D82" s="28" t="s">
        <v>128</v>
      </c>
      <c r="E82" s="23"/>
      <c r="F82" s="26">
        <f t="shared" ref="F82:I82" si="18">SUM(F78:F81)</f>
        <v>25425.496484403688</v>
      </c>
      <c r="G82" s="26">
        <v>11695.842238532099</v>
      </c>
      <c r="H82" s="26">
        <f t="shared" si="18"/>
        <v>10474.573328440367</v>
      </c>
      <c r="I82" s="26">
        <f t="shared" si="18"/>
        <v>3042.4292403669729</v>
      </c>
    </row>
    <row r="83" spans="1:9" ht="18" customHeight="1">
      <c r="C83" s="2"/>
      <c r="D83" s="9" t="s">
        <v>122</v>
      </c>
      <c r="E83" s="48">
        <v>2.9999999999999997E-4</v>
      </c>
      <c r="F83" s="9">
        <f>G11*E83</f>
        <v>422.99083200000001</v>
      </c>
      <c r="G83" s="9">
        <v>0</v>
      </c>
      <c r="H83" s="9">
        <v>0</v>
      </c>
      <c r="I83" s="9">
        <f>G9*E83</f>
        <v>12.689724</v>
      </c>
    </row>
    <row r="84" spans="1:9" ht="18" customHeight="1">
      <c r="C84" s="2"/>
      <c r="D84" s="9" t="s">
        <v>125</v>
      </c>
      <c r="E84" s="48">
        <v>5.9999999999999995E-4</v>
      </c>
      <c r="F84" s="9">
        <f>B11*E84</f>
        <v>776.12996697247684</v>
      </c>
      <c r="G84" s="9">
        <v>0</v>
      </c>
      <c r="H84" s="9">
        <v>0</v>
      </c>
      <c r="I84" s="9">
        <f>B9*E84</f>
        <v>23.28389724770642</v>
      </c>
    </row>
    <row r="85" spans="1:9" ht="18" customHeight="1">
      <c r="C85" s="2"/>
      <c r="D85" s="16" t="s">
        <v>128</v>
      </c>
      <c r="E85" s="36"/>
      <c r="F85" s="25">
        <f>F84+F83</f>
        <v>1199.1207989724769</v>
      </c>
      <c r="G85" s="25">
        <f t="shared" ref="G85:I85" si="19">SUM(G83:G84)</f>
        <v>0</v>
      </c>
      <c r="H85" s="25">
        <f t="shared" si="19"/>
        <v>0</v>
      </c>
      <c r="I85" s="25">
        <f t="shared" si="19"/>
        <v>35.973621247706419</v>
      </c>
    </row>
    <row r="86" spans="1:9" ht="18" customHeight="1">
      <c r="C86" s="2"/>
      <c r="D86" s="16" t="s">
        <v>24</v>
      </c>
      <c r="E86" s="25"/>
      <c r="F86" s="25">
        <f t="shared" ref="F86:I86" si="20">F82+F85</f>
        <v>26624.617283376163</v>
      </c>
      <c r="G86" s="25">
        <f t="shared" si="20"/>
        <v>11695.842238532099</v>
      </c>
      <c r="H86" s="25">
        <f t="shared" si="20"/>
        <v>10474.573328440367</v>
      </c>
      <c r="I86" s="25">
        <f t="shared" si="20"/>
        <v>3078.4028616146793</v>
      </c>
    </row>
    <row r="87" spans="1:9" ht="18" customHeight="1">
      <c r="C87" s="2"/>
      <c r="D87" s="25" t="s">
        <v>119</v>
      </c>
      <c r="E87" s="36">
        <v>1.6E-2</v>
      </c>
      <c r="F87" s="25">
        <f>G11*E87</f>
        <v>22559.511040000001</v>
      </c>
      <c r="G87" s="25">
        <f>G7*E87</f>
        <v>14635.056</v>
      </c>
      <c r="H87" s="25">
        <f>G8*E87</f>
        <v>7247.6697599999998</v>
      </c>
      <c r="I87" s="25">
        <f>G9*E87</f>
        <v>676.78527999999994</v>
      </c>
    </row>
    <row r="88" spans="1:9" ht="18" customHeight="1">
      <c r="C88" s="2"/>
      <c r="D88" s="74" t="s">
        <v>99</v>
      </c>
      <c r="E88" s="74"/>
      <c r="F88" s="75">
        <f>F82-I72-I60</f>
        <v>3254.9264844036879</v>
      </c>
    </row>
    <row r="89" spans="1:9" ht="18" customHeight="1">
      <c r="C89" s="2"/>
    </row>
    <row r="90" spans="1:9" ht="18" customHeight="1">
      <c r="C90" s="2"/>
    </row>
    <row r="91" spans="1:9">
      <c r="C91" s="2"/>
    </row>
    <row r="92" spans="1:9">
      <c r="C92" s="2"/>
      <c r="D92" s="4" t="s">
        <v>129</v>
      </c>
    </row>
    <row r="93" spans="1:9">
      <c r="C93" s="2"/>
    </row>
    <row r="94" spans="1:9">
      <c r="C94" s="2"/>
    </row>
    <row r="95" spans="1:9">
      <c r="C95" s="2"/>
    </row>
    <row r="96" spans="1:9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</sheetData>
  <mergeCells count="14">
    <mergeCell ref="J11:K11"/>
    <mergeCell ref="A5:A6"/>
    <mergeCell ref="B5:B6"/>
    <mergeCell ref="G5:G6"/>
    <mergeCell ref="J6:K6"/>
    <mergeCell ref="J7:K7"/>
    <mergeCell ref="J8:K8"/>
    <mergeCell ref="J9:K9"/>
    <mergeCell ref="J10:K10"/>
    <mergeCell ref="A1:K1"/>
    <mergeCell ref="H2:K2"/>
    <mergeCell ref="C5:D5"/>
    <mergeCell ref="E5:F5"/>
    <mergeCell ref="H5:K5"/>
  </mergeCells>
  <phoneticPr fontId="12" type="noConversion"/>
  <pageMargins left="0.235416666666667" right="0.235416666666667" top="0.31388888888888899" bottom="0.15625" header="0.31388888888888899" footer="0.31388888888888899"/>
  <pageSetup paperSize="9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3"/>
  <sheetViews>
    <sheetView topLeftCell="A19" workbookViewId="0">
      <selection activeCell="K44" sqref="K44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5" width="16" style="6" customWidth="1"/>
    <col min="16" max="16384" width="9" style="6"/>
  </cols>
  <sheetData>
    <row r="1" spans="1:15" ht="21.95" customHeight="1">
      <c r="A1" s="77" t="s">
        <v>130</v>
      </c>
      <c r="B1" s="77"/>
      <c r="C1" s="77"/>
      <c r="D1" s="77"/>
      <c r="E1" s="77"/>
      <c r="F1" s="78"/>
      <c r="G1" s="78"/>
      <c r="H1" s="77"/>
      <c r="I1" s="78"/>
      <c r="J1" s="77"/>
      <c r="K1" s="15"/>
      <c r="L1" s="15"/>
    </row>
    <row r="2" spans="1:15" ht="18" customHeight="1">
      <c r="A2" s="7" t="s">
        <v>1</v>
      </c>
      <c r="B2" s="8">
        <v>43427</v>
      </c>
      <c r="C2" s="9" t="s">
        <v>2</v>
      </c>
      <c r="D2" s="10">
        <v>1234110.6499999999</v>
      </c>
      <c r="E2" s="11" t="s">
        <v>3</v>
      </c>
      <c r="F2" s="12" t="s">
        <v>4</v>
      </c>
      <c r="G2" s="13" t="s">
        <v>5</v>
      </c>
      <c r="H2" s="79" t="s">
        <v>6</v>
      </c>
      <c r="I2" s="80"/>
      <c r="J2" s="81"/>
      <c r="K2" s="15"/>
      <c r="L2" s="15"/>
    </row>
    <row r="3" spans="1:15" ht="18" customHeight="1">
      <c r="A3" s="7" t="s">
        <v>7</v>
      </c>
      <c r="B3" s="14"/>
      <c r="C3" s="9" t="s">
        <v>8</v>
      </c>
      <c r="D3" s="9"/>
      <c r="H3" s="15"/>
      <c r="I3" s="50"/>
      <c r="J3" s="15"/>
      <c r="K3" s="15"/>
      <c r="L3" s="15"/>
    </row>
    <row r="4" spans="1:15" ht="18" customHeight="1">
      <c r="A4" s="2" t="s">
        <v>9</v>
      </c>
      <c r="H4" s="15"/>
      <c r="I4" s="50"/>
      <c r="J4" s="15"/>
      <c r="K4" s="15"/>
      <c r="L4" s="15"/>
    </row>
    <row r="5" spans="1:15" ht="18" customHeight="1">
      <c r="A5" s="82" t="s">
        <v>10</v>
      </c>
      <c r="B5" s="83" t="s">
        <v>11</v>
      </c>
      <c r="C5" s="82" t="s">
        <v>12</v>
      </c>
      <c r="D5" s="82"/>
      <c r="E5" s="82" t="s">
        <v>13</v>
      </c>
      <c r="F5" s="83"/>
      <c r="G5" s="83" t="s">
        <v>14</v>
      </c>
      <c r="H5" s="84" t="s">
        <v>15</v>
      </c>
      <c r="I5" s="83"/>
      <c r="J5" s="84"/>
    </row>
    <row r="6" spans="1:15" ht="18" customHeight="1">
      <c r="A6" s="82"/>
      <c r="B6" s="83"/>
      <c r="C6" s="16" t="s">
        <v>16</v>
      </c>
      <c r="D6" s="16" t="s">
        <v>17</v>
      </c>
      <c r="E6" s="16" t="s">
        <v>16</v>
      </c>
      <c r="F6" s="17" t="s">
        <v>17</v>
      </c>
      <c r="G6" s="83"/>
      <c r="H6" s="18" t="s">
        <v>18</v>
      </c>
      <c r="I6" s="17" t="s">
        <v>19</v>
      </c>
      <c r="J6" s="18" t="s">
        <v>20</v>
      </c>
    </row>
    <row r="7" spans="1:15" ht="18" customHeight="1">
      <c r="A7" s="19">
        <v>43847</v>
      </c>
      <c r="B7" s="9">
        <f t="shared" ref="B7:B8" si="0">G7/(1+C7+E7)</f>
        <v>839166.055045872</v>
      </c>
      <c r="C7" s="20">
        <v>0.02</v>
      </c>
      <c r="D7" s="21">
        <f t="shared" ref="D7:D8" si="1">G7/(1+E7+C7)*C7</f>
        <v>16783.321100917401</v>
      </c>
      <c r="E7" s="20">
        <v>7.0000000000000007E-2</v>
      </c>
      <c r="F7" s="9">
        <f t="shared" ref="F7:F8" si="2">G7/(1+C7+E7)*E7</f>
        <v>58741.623853211</v>
      </c>
      <c r="G7" s="22">
        <v>914691</v>
      </c>
      <c r="H7" s="19">
        <v>43849</v>
      </c>
      <c r="I7" s="9">
        <v>914691</v>
      </c>
      <c r="J7" s="51" t="s">
        <v>21</v>
      </c>
    </row>
    <row r="8" spans="1:15" ht="18" customHeight="1">
      <c r="A8" s="19"/>
      <c r="B8" s="9">
        <f t="shared" si="0"/>
        <v>0</v>
      </c>
      <c r="C8" s="20">
        <v>0.02</v>
      </c>
      <c r="D8" s="21">
        <f t="shared" si="1"/>
        <v>0</v>
      </c>
      <c r="E8" s="20">
        <v>7.0000000000000007E-2</v>
      </c>
      <c r="F8" s="9">
        <f t="shared" si="2"/>
        <v>0</v>
      </c>
      <c r="G8" s="22"/>
      <c r="H8" s="19"/>
      <c r="I8" s="9"/>
      <c r="J8" s="51"/>
    </row>
    <row r="9" spans="1:15" ht="18" customHeight="1">
      <c r="A9" s="19"/>
      <c r="B9" s="9">
        <f t="shared" ref="B9:B10" si="3">G9/(1+C9+E9)</f>
        <v>0</v>
      </c>
      <c r="C9" s="20">
        <v>0.02</v>
      </c>
      <c r="D9" s="21">
        <f t="shared" ref="D9:D10" si="4">G9/(1+E9+C9)*C9</f>
        <v>0</v>
      </c>
      <c r="E9" s="20">
        <v>7.0000000000000007E-2</v>
      </c>
      <c r="F9" s="9">
        <f t="shared" ref="F9:F10" si="5">G9/(1+C9+E9)*E9</f>
        <v>0</v>
      </c>
      <c r="G9" s="22"/>
      <c r="H9" s="19"/>
      <c r="I9" s="9"/>
      <c r="J9" s="51"/>
    </row>
    <row r="10" spans="1:15" ht="18" customHeight="1">
      <c r="A10" s="19"/>
      <c r="B10" s="9">
        <f t="shared" si="3"/>
        <v>0</v>
      </c>
      <c r="C10" s="20">
        <v>0.02</v>
      </c>
      <c r="D10" s="21">
        <f t="shared" si="4"/>
        <v>0</v>
      </c>
      <c r="E10" s="20">
        <v>7.0000000000000007E-2</v>
      </c>
      <c r="F10" s="9">
        <f t="shared" si="5"/>
        <v>0</v>
      </c>
      <c r="G10" s="22"/>
      <c r="H10" s="19"/>
      <c r="I10" s="9"/>
      <c r="J10" s="51"/>
    </row>
    <row r="11" spans="1:15" ht="18" customHeight="1">
      <c r="A11" s="23" t="s">
        <v>24</v>
      </c>
      <c r="B11" s="24">
        <f>SUM(B7:B10)</f>
        <v>839166.055045872</v>
      </c>
      <c r="C11" s="25"/>
      <c r="D11" s="25">
        <f t="shared" ref="D11:G11" si="6">SUM(D7:D10)</f>
        <v>16783.321100917401</v>
      </c>
      <c r="E11" s="25"/>
      <c r="F11" s="26">
        <f t="shared" si="6"/>
        <v>58741.623853211</v>
      </c>
      <c r="G11" s="25">
        <f t="shared" si="6"/>
        <v>914691</v>
      </c>
      <c r="H11" s="27"/>
      <c r="I11" s="25">
        <f>SUM(I7:I10)</f>
        <v>914691</v>
      </c>
      <c r="J11" s="27"/>
    </row>
    <row r="12" spans="1:15" ht="18" customHeight="1">
      <c r="A12" s="2" t="s">
        <v>25</v>
      </c>
      <c r="J12" s="4"/>
      <c r="K12" s="4"/>
      <c r="L12" s="5"/>
    </row>
    <row r="13" spans="1:15" ht="18" customHeight="1">
      <c r="A13" s="28" t="s">
        <v>26</v>
      </c>
      <c r="B13" s="17" t="s">
        <v>27</v>
      </c>
      <c r="C13" s="16" t="s">
        <v>28</v>
      </c>
      <c r="D13" s="16" t="s">
        <v>29</v>
      </c>
      <c r="E13" s="16" t="s">
        <v>16</v>
      </c>
      <c r="F13" s="17" t="s">
        <v>30</v>
      </c>
      <c r="G13" s="17" t="s">
        <v>14</v>
      </c>
      <c r="H13" s="16" t="s">
        <v>31</v>
      </c>
      <c r="I13" s="17" t="s">
        <v>32</v>
      </c>
      <c r="J13" s="16" t="s">
        <v>20</v>
      </c>
      <c r="K13" s="52" t="s">
        <v>34</v>
      </c>
      <c r="L13" s="18" t="s">
        <v>35</v>
      </c>
      <c r="M13" s="18" t="s">
        <v>36</v>
      </c>
      <c r="N13" s="18" t="s">
        <v>37</v>
      </c>
      <c r="O13" s="18" t="s">
        <v>38</v>
      </c>
    </row>
    <row r="14" spans="1:15" s="1" customFormat="1" ht="18" customHeight="1">
      <c r="A14" s="29">
        <v>43831</v>
      </c>
      <c r="B14" s="30">
        <f t="shared" ref="B14:B17" si="7">ROUND(G14/(1+E14),2)</f>
        <v>951.46</v>
      </c>
      <c r="C14" s="31"/>
      <c r="D14" s="32" t="s">
        <v>39</v>
      </c>
      <c r="E14" s="33">
        <v>0.03</v>
      </c>
      <c r="F14" s="30">
        <f t="shared" ref="F14:F17" si="8">ROUND(G14/(1+E14)*E14,2)</f>
        <v>28.54</v>
      </c>
      <c r="G14" s="34">
        <v>980</v>
      </c>
      <c r="H14" s="19"/>
      <c r="I14" s="9"/>
      <c r="J14" s="51"/>
      <c r="K14" s="53" t="s">
        <v>40</v>
      </c>
      <c r="L14" s="54" t="s">
        <v>41</v>
      </c>
      <c r="M14" s="55"/>
      <c r="N14" s="55"/>
      <c r="O14" s="54"/>
    </row>
    <row r="15" spans="1:15" s="1" customFormat="1" ht="18" customHeight="1">
      <c r="A15" s="29">
        <v>43831</v>
      </c>
      <c r="B15" s="30">
        <f t="shared" si="7"/>
        <v>19223.3</v>
      </c>
      <c r="C15" s="31"/>
      <c r="D15" s="32" t="s">
        <v>39</v>
      </c>
      <c r="E15" s="33">
        <v>0.03</v>
      </c>
      <c r="F15" s="30">
        <f t="shared" si="8"/>
        <v>576.70000000000005</v>
      </c>
      <c r="G15" s="34">
        <v>19800</v>
      </c>
      <c r="H15" s="19"/>
      <c r="I15" s="9"/>
      <c r="J15" s="51"/>
      <c r="K15" s="53" t="s">
        <v>42</v>
      </c>
      <c r="L15" s="54" t="s">
        <v>43</v>
      </c>
      <c r="M15" s="55"/>
      <c r="N15" s="55"/>
      <c r="O15" s="54"/>
    </row>
    <row r="16" spans="1:15" s="1" customFormat="1" ht="18" customHeight="1">
      <c r="A16" s="29">
        <v>43831</v>
      </c>
      <c r="B16" s="30">
        <f t="shared" si="7"/>
        <v>5583.96</v>
      </c>
      <c r="C16" s="31"/>
      <c r="D16" s="32" t="s">
        <v>39</v>
      </c>
      <c r="E16" s="33">
        <v>0.06</v>
      </c>
      <c r="F16" s="30">
        <f t="shared" si="8"/>
        <v>335.04</v>
      </c>
      <c r="G16" s="34">
        <v>5919</v>
      </c>
      <c r="H16" s="19"/>
      <c r="I16" s="9"/>
      <c r="J16" s="51"/>
      <c r="K16" s="53" t="s">
        <v>44</v>
      </c>
      <c r="L16" s="54" t="s">
        <v>45</v>
      </c>
      <c r="M16" s="55"/>
      <c r="N16" s="55"/>
      <c r="O16" s="54"/>
    </row>
    <row r="17" spans="1:15" s="1" customFormat="1" ht="18" customHeight="1">
      <c r="A17" s="29">
        <v>43831</v>
      </c>
      <c r="B17" s="30">
        <f t="shared" si="7"/>
        <v>159173.97</v>
      </c>
      <c r="C17" s="31"/>
      <c r="D17" s="32" t="s">
        <v>39</v>
      </c>
      <c r="E17" s="33">
        <v>0.13</v>
      </c>
      <c r="F17" s="30">
        <f t="shared" si="8"/>
        <v>20692.62</v>
      </c>
      <c r="G17" s="34">
        <f>89988.14+89878.45</f>
        <v>179866.59</v>
      </c>
      <c r="H17" s="19">
        <v>43780</v>
      </c>
      <c r="I17" s="9">
        <v>180000</v>
      </c>
      <c r="J17" s="51" t="s">
        <v>21</v>
      </c>
      <c r="K17" s="53" t="s">
        <v>46</v>
      </c>
      <c r="L17" s="54" t="s">
        <v>47</v>
      </c>
      <c r="M17" s="55"/>
      <c r="N17" s="56" t="s">
        <v>49</v>
      </c>
      <c r="O17" s="54"/>
    </row>
    <row r="18" spans="1:15" s="1" customFormat="1" ht="18" customHeight="1">
      <c r="A18" s="29"/>
      <c r="B18" s="30"/>
      <c r="C18" s="31"/>
      <c r="D18" s="32"/>
      <c r="E18" s="33"/>
      <c r="F18" s="30"/>
      <c r="G18" s="34"/>
      <c r="H18" s="19"/>
      <c r="I18" s="9">
        <v>-180000</v>
      </c>
      <c r="J18" s="51" t="s">
        <v>50</v>
      </c>
      <c r="K18" s="53" t="s">
        <v>51</v>
      </c>
      <c r="L18" s="54"/>
      <c r="M18" s="55"/>
      <c r="N18" s="56"/>
      <c r="O18" s="54"/>
    </row>
    <row r="19" spans="1:15" s="1" customFormat="1" ht="18" customHeight="1">
      <c r="A19" s="29">
        <v>43831</v>
      </c>
      <c r="B19" s="30">
        <f>ROUND(G19/(1+E19),2)</f>
        <v>25412.39</v>
      </c>
      <c r="C19" s="31"/>
      <c r="D19" s="32" t="s">
        <v>39</v>
      </c>
      <c r="E19" s="33">
        <v>0.13</v>
      </c>
      <c r="F19" s="30">
        <f>ROUND(G19/(1+E19)*E19,2)</f>
        <v>3303.61</v>
      </c>
      <c r="G19" s="34">
        <v>28716</v>
      </c>
      <c r="H19" s="19">
        <v>43832</v>
      </c>
      <c r="I19" s="9">
        <v>28716</v>
      </c>
      <c r="J19" s="51" t="s">
        <v>21</v>
      </c>
      <c r="K19" s="53" t="s">
        <v>52</v>
      </c>
      <c r="L19" s="54" t="s">
        <v>53</v>
      </c>
      <c r="M19" s="55" t="s">
        <v>48</v>
      </c>
      <c r="N19" s="56" t="s">
        <v>49</v>
      </c>
      <c r="O19" s="54"/>
    </row>
    <row r="20" spans="1:15" s="1" customFormat="1" ht="18" customHeight="1">
      <c r="A20" s="29"/>
      <c r="B20" s="30"/>
      <c r="C20" s="31"/>
      <c r="D20" s="32"/>
      <c r="E20" s="33"/>
      <c r="F20" s="30"/>
      <c r="G20" s="34"/>
      <c r="H20" s="19"/>
      <c r="I20" s="9">
        <v>-28716</v>
      </c>
      <c r="J20" s="51" t="s">
        <v>50</v>
      </c>
      <c r="K20" s="53" t="s">
        <v>51</v>
      </c>
      <c r="L20" s="54"/>
      <c r="M20" s="55"/>
      <c r="N20" s="56"/>
      <c r="O20" s="54"/>
    </row>
    <row r="21" spans="1:15" s="1" customFormat="1" ht="18" customHeight="1">
      <c r="A21" s="29">
        <v>43831</v>
      </c>
      <c r="B21" s="30">
        <f t="shared" ref="B21:B27" si="9">ROUND(G21/(1+E21),2)</f>
        <v>69930</v>
      </c>
      <c r="C21" s="31"/>
      <c r="D21" s="32" t="s">
        <v>54</v>
      </c>
      <c r="E21" s="35"/>
      <c r="F21" s="30">
        <f t="shared" ref="F21:F27" si="10">ROUND(G21/(1+E21)*E21,2)</f>
        <v>0</v>
      </c>
      <c r="G21" s="34">
        <f>2250+5850+61830</f>
        <v>69930</v>
      </c>
      <c r="H21" s="19"/>
      <c r="I21" s="9"/>
      <c r="J21" s="51"/>
      <c r="K21" s="57" t="s">
        <v>55</v>
      </c>
      <c r="L21" s="54" t="s">
        <v>56</v>
      </c>
      <c r="M21" s="56" t="s">
        <v>57</v>
      </c>
      <c r="N21" s="56" t="s">
        <v>49</v>
      </c>
      <c r="O21" s="54"/>
    </row>
    <row r="22" spans="1:15" s="1" customFormat="1" ht="18" customHeight="1">
      <c r="A22" s="29">
        <v>43831</v>
      </c>
      <c r="B22" s="30">
        <f t="shared" si="9"/>
        <v>2000</v>
      </c>
      <c r="C22" s="31"/>
      <c r="D22" s="32" t="s">
        <v>54</v>
      </c>
      <c r="E22" s="35"/>
      <c r="F22" s="30">
        <f t="shared" si="10"/>
        <v>0</v>
      </c>
      <c r="G22" s="22">
        <v>2000</v>
      </c>
      <c r="H22" s="19"/>
      <c r="I22" s="9"/>
      <c r="J22" s="51"/>
      <c r="K22" s="57" t="s">
        <v>42</v>
      </c>
      <c r="L22" s="54" t="s">
        <v>43</v>
      </c>
      <c r="M22" s="55"/>
      <c r="N22" s="55"/>
      <c r="O22" s="54"/>
    </row>
    <row r="23" spans="1:15" s="1" customFormat="1" ht="18" customHeight="1">
      <c r="A23" s="29">
        <v>43831</v>
      </c>
      <c r="B23" s="30">
        <f t="shared" si="9"/>
        <v>178250.23</v>
      </c>
      <c r="C23" s="31"/>
      <c r="D23" s="32" t="s">
        <v>39</v>
      </c>
      <c r="E23" s="33">
        <v>0.13</v>
      </c>
      <c r="F23" s="30">
        <f t="shared" si="10"/>
        <v>23172.53</v>
      </c>
      <c r="G23" s="22">
        <f>100711.38*2</f>
        <v>201422.76</v>
      </c>
      <c r="H23" s="19"/>
      <c r="I23" s="9"/>
      <c r="J23" s="51"/>
      <c r="K23" s="57" t="s">
        <v>58</v>
      </c>
      <c r="L23" s="54" t="s">
        <v>59</v>
      </c>
      <c r="M23" s="55"/>
      <c r="N23" s="55"/>
      <c r="O23" s="54"/>
    </row>
    <row r="24" spans="1:15" s="1" customFormat="1" ht="18" customHeight="1">
      <c r="A24" s="29"/>
      <c r="B24" s="30">
        <f t="shared" si="9"/>
        <v>0</v>
      </c>
      <c r="C24" s="31"/>
      <c r="D24" s="32"/>
      <c r="E24" s="35"/>
      <c r="F24" s="30">
        <f t="shared" si="10"/>
        <v>0</v>
      </c>
      <c r="G24" s="22"/>
      <c r="H24" s="19">
        <v>43853</v>
      </c>
      <c r="I24" s="9">
        <v>200000</v>
      </c>
      <c r="J24" s="51" t="s">
        <v>21</v>
      </c>
      <c r="K24" s="57" t="s">
        <v>58</v>
      </c>
      <c r="L24" s="54" t="s">
        <v>60</v>
      </c>
      <c r="M24" s="55"/>
      <c r="N24" s="55"/>
      <c r="O24" s="54"/>
    </row>
    <row r="25" spans="1:15" s="1" customFormat="1" ht="18" customHeight="1">
      <c r="A25" s="29"/>
      <c r="B25" s="30">
        <f t="shared" si="9"/>
        <v>0</v>
      </c>
      <c r="C25" s="31"/>
      <c r="D25" s="32"/>
      <c r="E25" s="35"/>
      <c r="F25" s="30">
        <f t="shared" si="10"/>
        <v>0</v>
      </c>
      <c r="G25" s="22"/>
      <c r="H25" s="19">
        <v>43853</v>
      </c>
      <c r="I25" s="9">
        <v>208716</v>
      </c>
      <c r="J25" s="51" t="s">
        <v>50</v>
      </c>
      <c r="K25" s="57" t="s">
        <v>51</v>
      </c>
      <c r="L25" s="54" t="s">
        <v>61</v>
      </c>
      <c r="M25" s="55"/>
      <c r="N25" s="55"/>
      <c r="O25" s="54"/>
    </row>
    <row r="26" spans="1:15" s="1" customFormat="1" ht="18" customHeight="1">
      <c r="A26" s="29"/>
      <c r="B26" s="30">
        <f t="shared" si="9"/>
        <v>0</v>
      </c>
      <c r="C26" s="31"/>
      <c r="D26" s="32"/>
      <c r="E26" s="35"/>
      <c r="F26" s="30">
        <f t="shared" si="10"/>
        <v>0</v>
      </c>
      <c r="G26" s="22"/>
      <c r="H26" s="19">
        <v>43853</v>
      </c>
      <c r="I26" s="9">
        <v>28699</v>
      </c>
      <c r="J26" s="51" t="s">
        <v>50</v>
      </c>
      <c r="K26" s="57" t="s">
        <v>51</v>
      </c>
      <c r="L26" s="54"/>
      <c r="M26" s="55"/>
      <c r="N26" s="55"/>
      <c r="O26" s="54"/>
    </row>
    <row r="27" spans="1:15" s="1" customFormat="1" ht="18" customHeight="1">
      <c r="A27" s="29">
        <v>43891</v>
      </c>
      <c r="B27" s="30">
        <f t="shared" si="9"/>
        <v>5080</v>
      </c>
      <c r="C27" s="31"/>
      <c r="D27" s="32" t="s">
        <v>54</v>
      </c>
      <c r="E27" s="35"/>
      <c r="F27" s="30">
        <f t="shared" si="10"/>
        <v>0</v>
      </c>
      <c r="G27" s="22">
        <v>5080</v>
      </c>
      <c r="H27" s="19"/>
      <c r="I27" s="9"/>
      <c r="J27" s="51"/>
      <c r="K27" s="57" t="s">
        <v>63</v>
      </c>
      <c r="L27" s="54" t="s">
        <v>64</v>
      </c>
      <c r="M27" s="55"/>
      <c r="N27" s="55"/>
      <c r="O27" s="58" t="s">
        <v>65</v>
      </c>
    </row>
    <row r="28" spans="1:15" s="1" customFormat="1" ht="18" customHeight="1">
      <c r="A28" s="29"/>
      <c r="B28" s="30"/>
      <c r="C28" s="31"/>
      <c r="D28" s="32"/>
      <c r="E28" s="35"/>
      <c r="F28" s="30"/>
      <c r="G28" s="22"/>
      <c r="H28" s="19"/>
      <c r="I28" s="9"/>
      <c r="J28" s="51"/>
      <c r="K28" s="57"/>
      <c r="L28" s="54"/>
      <c r="M28" s="55"/>
      <c r="N28" s="55"/>
      <c r="O28" s="58"/>
    </row>
    <row r="29" spans="1:15" s="1" customFormat="1" ht="18" customHeight="1">
      <c r="A29" s="29"/>
      <c r="B29" s="30"/>
      <c r="C29" s="31"/>
      <c r="D29" s="32"/>
      <c r="E29" s="35"/>
      <c r="F29" s="30"/>
      <c r="G29" s="22"/>
      <c r="H29" s="19"/>
      <c r="I29" s="9"/>
      <c r="J29" s="51"/>
      <c r="K29" s="57"/>
      <c r="L29" s="54"/>
      <c r="M29" s="55"/>
      <c r="N29" s="55"/>
      <c r="O29" s="58"/>
    </row>
    <row r="30" spans="1:15" s="1" customFormat="1" ht="18" customHeight="1">
      <c r="A30" s="29"/>
      <c r="B30" s="30"/>
      <c r="C30" s="31"/>
      <c r="D30" s="32"/>
      <c r="E30" s="35"/>
      <c r="F30" s="30"/>
      <c r="G30" s="22"/>
      <c r="H30" s="19"/>
      <c r="I30" s="9"/>
      <c r="J30" s="51"/>
      <c r="K30" s="57"/>
      <c r="L30" s="54"/>
      <c r="M30" s="55"/>
      <c r="N30" s="55"/>
      <c r="O30" s="58"/>
    </row>
    <row r="31" spans="1:15" s="1" customFormat="1" ht="18" customHeight="1">
      <c r="A31" s="29"/>
      <c r="B31" s="30">
        <f t="shared" ref="B31:B35" si="11">ROUND(G31/(1+E31),2)</f>
        <v>0</v>
      </c>
      <c r="C31" s="31"/>
      <c r="D31" s="32"/>
      <c r="E31" s="35"/>
      <c r="F31" s="30">
        <f t="shared" ref="F31:F35" si="12">ROUND(G31/(1+E31)*E31,2)</f>
        <v>0</v>
      </c>
      <c r="G31" s="22"/>
      <c r="H31" s="19"/>
      <c r="I31" s="9"/>
      <c r="J31" s="51"/>
      <c r="K31" s="53"/>
      <c r="L31" s="54"/>
      <c r="M31" s="55"/>
      <c r="N31" s="55"/>
      <c r="O31" s="54"/>
    </row>
    <row r="32" spans="1:15" s="1" customFormat="1" ht="18" customHeight="1">
      <c r="A32" s="29"/>
      <c r="B32" s="30">
        <f t="shared" si="11"/>
        <v>0</v>
      </c>
      <c r="C32" s="31"/>
      <c r="D32" s="32"/>
      <c r="E32" s="35"/>
      <c r="F32" s="30">
        <f t="shared" si="12"/>
        <v>0</v>
      </c>
      <c r="G32" s="22"/>
      <c r="H32" s="19" t="s">
        <v>71</v>
      </c>
      <c r="I32" s="59">
        <v>2020</v>
      </c>
      <c r="J32" s="51" t="s">
        <v>89</v>
      </c>
      <c r="K32" s="53" t="s">
        <v>105</v>
      </c>
      <c r="L32" s="54"/>
      <c r="M32" s="55"/>
      <c r="N32" s="55"/>
      <c r="O32" s="54"/>
    </row>
    <row r="33" spans="1:15" s="1" customFormat="1" ht="18" customHeight="1">
      <c r="A33" s="29"/>
      <c r="B33" s="30">
        <f t="shared" si="11"/>
        <v>0</v>
      </c>
      <c r="C33" s="31"/>
      <c r="D33" s="32"/>
      <c r="E33" s="35"/>
      <c r="F33" s="30">
        <f t="shared" si="12"/>
        <v>0</v>
      </c>
      <c r="G33" s="22"/>
      <c r="H33" s="19" t="s">
        <v>71</v>
      </c>
      <c r="I33" s="59">
        <v>200</v>
      </c>
      <c r="J33" s="51" t="s">
        <v>89</v>
      </c>
      <c r="K33" s="53" t="s">
        <v>90</v>
      </c>
      <c r="L33" s="54"/>
      <c r="M33" s="55"/>
      <c r="N33" s="55"/>
      <c r="O33" s="54"/>
    </row>
    <row r="34" spans="1:15" s="1" customFormat="1" ht="18" customHeight="1">
      <c r="A34" s="29"/>
      <c r="B34" s="30">
        <f t="shared" si="11"/>
        <v>0</v>
      </c>
      <c r="C34" s="31"/>
      <c r="D34" s="32"/>
      <c r="E34" s="35"/>
      <c r="F34" s="30">
        <f t="shared" si="12"/>
        <v>0</v>
      </c>
      <c r="G34" s="22"/>
      <c r="H34" s="19" t="s">
        <v>71</v>
      </c>
      <c r="I34" s="59">
        <v>6500</v>
      </c>
      <c r="J34" s="51" t="s">
        <v>89</v>
      </c>
      <c r="K34" s="53" t="s">
        <v>106</v>
      </c>
      <c r="L34" s="54"/>
      <c r="M34" s="55"/>
      <c r="N34" s="55"/>
      <c r="O34" s="54"/>
    </row>
    <row r="35" spans="1:15" s="1" customFormat="1" ht="18" customHeight="1">
      <c r="A35" s="29"/>
      <c r="B35" s="30">
        <f t="shared" si="11"/>
        <v>30853</v>
      </c>
      <c r="C35" s="31"/>
      <c r="D35" s="32"/>
      <c r="E35" s="35"/>
      <c r="F35" s="30">
        <f t="shared" si="12"/>
        <v>0</v>
      </c>
      <c r="G35" s="22">
        <f>30853</f>
        <v>30853</v>
      </c>
      <c r="H35" s="19" t="s">
        <v>71</v>
      </c>
      <c r="I35" s="59">
        <f>G35</f>
        <v>30853</v>
      </c>
      <c r="J35" s="51" t="s">
        <v>89</v>
      </c>
      <c r="K35" s="53" t="s">
        <v>131</v>
      </c>
      <c r="L35" s="54"/>
      <c r="M35" s="55"/>
      <c r="N35" s="55"/>
      <c r="O35" s="54"/>
    </row>
    <row r="36" spans="1:15" s="1" customFormat="1" ht="18" customHeight="1">
      <c r="A36" s="29"/>
      <c r="B36" s="30">
        <f t="shared" ref="B36:B39" si="13">ROUND(G36/(1+E36),2)</f>
        <v>0</v>
      </c>
      <c r="C36" s="31"/>
      <c r="D36" s="32"/>
      <c r="E36" s="35"/>
      <c r="F36" s="30">
        <f t="shared" ref="F36:F39" si="14">ROUND(G36/(1+E36)*E36,2)</f>
        <v>0</v>
      </c>
      <c r="G36" s="22"/>
      <c r="H36" s="19" t="s">
        <v>71</v>
      </c>
      <c r="I36" s="59">
        <v>84000</v>
      </c>
      <c r="J36" s="51" t="s">
        <v>108</v>
      </c>
      <c r="K36" s="53" t="s">
        <v>109</v>
      </c>
      <c r="L36" s="54"/>
      <c r="M36" s="55"/>
      <c r="N36" s="55"/>
      <c r="O36" s="54"/>
    </row>
    <row r="37" spans="1:15" s="1" customFormat="1" ht="18" customHeight="1">
      <c r="A37" s="29"/>
      <c r="B37" s="30">
        <f t="shared" si="13"/>
        <v>0</v>
      </c>
      <c r="C37" s="31"/>
      <c r="D37" s="32"/>
      <c r="E37" s="35"/>
      <c r="F37" s="30">
        <f t="shared" si="14"/>
        <v>0</v>
      </c>
      <c r="G37" s="22"/>
      <c r="H37" s="19" t="s">
        <v>71</v>
      </c>
      <c r="I37" s="59">
        <v>14636</v>
      </c>
      <c r="J37" s="51" t="s">
        <v>89</v>
      </c>
      <c r="K37" s="53" t="s">
        <v>91</v>
      </c>
      <c r="L37" s="54"/>
      <c r="M37" s="55"/>
      <c r="N37" s="55"/>
      <c r="O37" s="54"/>
    </row>
    <row r="38" spans="1:15" s="1" customFormat="1" ht="18" customHeight="1">
      <c r="A38" s="29"/>
      <c r="B38" s="30">
        <f t="shared" si="13"/>
        <v>0</v>
      </c>
      <c r="C38" s="31"/>
      <c r="D38" s="32"/>
      <c r="E38" s="35"/>
      <c r="F38" s="30">
        <f t="shared" si="14"/>
        <v>0</v>
      </c>
      <c r="G38" s="22"/>
      <c r="H38" s="19" t="s">
        <v>71</v>
      </c>
      <c r="I38" s="59">
        <v>11696</v>
      </c>
      <c r="J38" s="51" t="s">
        <v>89</v>
      </c>
      <c r="K38" s="53" t="s">
        <v>92</v>
      </c>
      <c r="L38" s="54"/>
      <c r="M38" s="55"/>
      <c r="N38" s="55"/>
      <c r="O38" s="54"/>
    </row>
    <row r="39" spans="1:15" s="1" customFormat="1" ht="18" customHeight="1">
      <c r="A39" s="29"/>
      <c r="B39" s="30">
        <f t="shared" si="13"/>
        <v>0</v>
      </c>
      <c r="C39" s="31"/>
      <c r="D39" s="32"/>
      <c r="E39" s="35"/>
      <c r="F39" s="30">
        <f t="shared" si="14"/>
        <v>0</v>
      </c>
      <c r="G39" s="22"/>
      <c r="H39" s="19"/>
      <c r="I39" s="9"/>
      <c r="J39" s="51"/>
      <c r="K39" s="53"/>
      <c r="L39" s="54"/>
      <c r="M39" s="55"/>
      <c r="N39" s="55"/>
      <c r="O39" s="54"/>
    </row>
    <row r="40" spans="1:15" ht="18" customHeight="1">
      <c r="A40" s="25" t="s">
        <v>24</v>
      </c>
      <c r="B40" s="24">
        <f t="shared" ref="B40:G40" si="15">SUM(B14:B39)</f>
        <v>496458.31</v>
      </c>
      <c r="C40" s="25"/>
      <c r="D40" s="36"/>
      <c r="E40" s="36"/>
      <c r="F40" s="26">
        <f t="shared" si="15"/>
        <v>48109.04</v>
      </c>
      <c r="G40" s="37">
        <f t="shared" si="15"/>
        <v>544567.35</v>
      </c>
      <c r="H40" s="38"/>
      <c r="I40" s="25">
        <f>SUM(I14:I39)</f>
        <v>587320</v>
      </c>
      <c r="J40" s="60"/>
      <c r="K40" s="36"/>
      <c r="L40" s="27"/>
      <c r="M40" s="51"/>
      <c r="N40" s="51"/>
      <c r="O40" s="27"/>
    </row>
    <row r="41" spans="1:15" ht="18" customHeight="1">
      <c r="A41" s="39" t="s">
        <v>110</v>
      </c>
      <c r="B41" s="39">
        <f>B11*0.984</f>
        <v>825739.39816513797</v>
      </c>
      <c r="C41" s="39"/>
      <c r="D41" s="40"/>
      <c r="E41" s="40"/>
      <c r="F41" s="41"/>
      <c r="G41" s="39">
        <f>G11-G40</f>
        <v>370123.65</v>
      </c>
      <c r="H41" s="18" t="s">
        <v>111</v>
      </c>
      <c r="I41" s="25">
        <f>I11-I40</f>
        <v>327371</v>
      </c>
      <c r="J41" s="6"/>
      <c r="K41" s="61"/>
      <c r="M41" s="62"/>
      <c r="N41" s="62"/>
    </row>
    <row r="42" spans="1:15" ht="18" customHeight="1">
      <c r="A42" s="39" t="s">
        <v>112</v>
      </c>
      <c r="B42" s="39">
        <f>B41-B40</f>
        <v>329281.08816513798</v>
      </c>
      <c r="C42" s="39"/>
      <c r="D42" s="40"/>
      <c r="E42" s="40"/>
      <c r="F42" s="41"/>
      <c r="G42" s="41"/>
      <c r="H42" s="42"/>
      <c r="I42" s="41"/>
      <c r="J42" s="6"/>
      <c r="K42" s="61"/>
      <c r="M42" s="62"/>
      <c r="N42" s="62"/>
    </row>
    <row r="43" spans="1:15" ht="18" customHeight="1">
      <c r="A43" s="2" t="s">
        <v>113</v>
      </c>
      <c r="C43" s="2"/>
    </row>
    <row r="44" spans="1:15" ht="18" customHeight="1">
      <c r="A44" s="18" t="s">
        <v>114</v>
      </c>
      <c r="B44" s="17" t="s">
        <v>115</v>
      </c>
      <c r="C44" s="27"/>
      <c r="D44" s="18" t="s">
        <v>114</v>
      </c>
      <c r="E44" s="16" t="s">
        <v>16</v>
      </c>
      <c r="F44" s="17" t="s">
        <v>115</v>
      </c>
      <c r="G44" s="3" t="s">
        <v>116</v>
      </c>
    </row>
    <row r="45" spans="1:15" ht="18" customHeight="1">
      <c r="A45" s="27" t="s">
        <v>119</v>
      </c>
      <c r="B45" s="14">
        <f>(B41-B40)*0.25</f>
        <v>82320.272041284494</v>
      </c>
      <c r="C45" s="27"/>
      <c r="D45" s="23" t="s">
        <v>120</v>
      </c>
      <c r="E45" s="18" t="s">
        <v>121</v>
      </c>
      <c r="F45" s="43">
        <f>F11-F40</f>
        <v>10632.583853210999</v>
      </c>
      <c r="G45" s="3">
        <v>10632.583853210999</v>
      </c>
    </row>
    <row r="46" spans="1:15" ht="18" customHeight="1">
      <c r="A46" s="27" t="s">
        <v>122</v>
      </c>
      <c r="B46" s="44" t="s">
        <v>123</v>
      </c>
      <c r="C46" s="27"/>
      <c r="D46" s="45" t="s">
        <v>124</v>
      </c>
      <c r="E46" s="11">
        <v>0.05</v>
      </c>
      <c r="F46" s="46">
        <f>F45*E46</f>
        <v>531.62919266054996</v>
      </c>
      <c r="G46" s="3">
        <v>531.62919266054996</v>
      </c>
    </row>
    <row r="47" spans="1:15" ht="18" customHeight="1">
      <c r="A47" s="27" t="s">
        <v>125</v>
      </c>
      <c r="B47" s="44" t="s">
        <v>123</v>
      </c>
      <c r="C47" s="27"/>
      <c r="D47" s="45" t="s">
        <v>126</v>
      </c>
      <c r="E47" s="11">
        <v>0.03</v>
      </c>
      <c r="F47" s="46">
        <f>F45*E47</f>
        <v>318.97751559633002</v>
      </c>
      <c r="G47" s="3">
        <v>318.97751559633002</v>
      </c>
    </row>
    <row r="48" spans="1:15" ht="18" customHeight="1">
      <c r="A48" s="27"/>
      <c r="B48" s="46"/>
      <c r="C48" s="27"/>
      <c r="D48" s="45" t="s">
        <v>127</v>
      </c>
      <c r="E48" s="11">
        <v>0.02</v>
      </c>
      <c r="F48" s="46">
        <f>F45*E48</f>
        <v>212.65167706422</v>
      </c>
      <c r="G48" s="3">
        <v>212.65167706422</v>
      </c>
    </row>
    <row r="49" spans="1:7" ht="18" customHeight="1">
      <c r="A49" s="23" t="s">
        <v>128</v>
      </c>
      <c r="B49" s="47">
        <f>SUM(B45:B48)</f>
        <v>82320.272041284494</v>
      </c>
      <c r="C49" s="27"/>
      <c r="D49" s="28" t="s">
        <v>128</v>
      </c>
      <c r="E49" s="23"/>
      <c r="F49" s="43">
        <f>SUM(F45:F48)</f>
        <v>11695.842238532099</v>
      </c>
      <c r="G49" s="3">
        <v>11695.842238532099</v>
      </c>
    </row>
    <row r="50" spans="1:7" ht="18" customHeight="1">
      <c r="C50" s="2"/>
      <c r="D50" s="9" t="s">
        <v>122</v>
      </c>
      <c r="E50" s="48">
        <v>2.9999999999999997E-4</v>
      </c>
      <c r="F50" s="46">
        <f>G11*E50</f>
        <v>274.40730000000002</v>
      </c>
    </row>
    <row r="51" spans="1:7" ht="18" customHeight="1">
      <c r="C51" s="2"/>
      <c r="D51" s="9" t="s">
        <v>125</v>
      </c>
      <c r="E51" s="48">
        <v>5.9999999999999995E-4</v>
      </c>
      <c r="F51" s="46">
        <f>B11*E51</f>
        <v>503.49963302752298</v>
      </c>
    </row>
    <row r="52" spans="1:7" ht="18" customHeight="1">
      <c r="C52" s="2"/>
      <c r="D52" s="16" t="s">
        <v>128</v>
      </c>
      <c r="E52" s="36"/>
      <c r="F52" s="49">
        <f>F51+F50</f>
        <v>777.906933027523</v>
      </c>
    </row>
    <row r="53" spans="1:7" ht="18" customHeight="1">
      <c r="C53" s="2"/>
      <c r="D53" s="16" t="s">
        <v>24</v>
      </c>
      <c r="E53" s="25"/>
      <c r="F53" s="49">
        <f>F49+F52</f>
        <v>12473.749171559601</v>
      </c>
    </row>
    <row r="54" spans="1:7" ht="18" customHeight="1">
      <c r="C54" s="2"/>
      <c r="D54" s="25" t="s">
        <v>119</v>
      </c>
      <c r="E54" s="36">
        <v>1.6E-2</v>
      </c>
      <c r="F54" s="49">
        <f>B11*E54</f>
        <v>13426.656880733901</v>
      </c>
      <c r="G54" s="3">
        <f>G7*E54</f>
        <v>14635.056</v>
      </c>
    </row>
    <row r="55" spans="1:7" ht="18" customHeight="1">
      <c r="C55" s="2"/>
      <c r="G55" s="3">
        <f>B42*0.25</f>
        <v>82320.272041284494</v>
      </c>
    </row>
    <row r="56" spans="1:7" ht="18" customHeight="1">
      <c r="C56" s="2"/>
    </row>
    <row r="57" spans="1:7" ht="18" customHeight="1">
      <c r="C57" s="2"/>
    </row>
    <row r="58" spans="1:7">
      <c r="C58" s="2"/>
    </row>
    <row r="59" spans="1:7">
      <c r="C59" s="2"/>
    </row>
    <row r="60" spans="1:7">
      <c r="C60" s="2"/>
    </row>
    <row r="61" spans="1:7">
      <c r="C61" s="2"/>
    </row>
    <row r="62" spans="1:7">
      <c r="C62" s="2"/>
    </row>
    <row r="63" spans="1:7">
      <c r="C63" s="2"/>
    </row>
    <row r="64" spans="1:7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2" type="noConversion"/>
  <pageMargins left="0.235416666666667" right="0.235416666666667" top="0.31388888888888899" bottom="0.15625" header="0.31388888888888899" footer="0.31388888888888899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微软用户</cp:lastModifiedBy>
  <cp:lastPrinted>2016-11-23T10:22:00Z</cp:lastPrinted>
  <dcterms:created xsi:type="dcterms:W3CDTF">2016-07-12T06:03:00Z</dcterms:created>
  <dcterms:modified xsi:type="dcterms:W3CDTF">2024-09-09T08:31:00Z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D999838866CC41FEB79EF95B56DB75F8</vt:lpwstr>
  </property>
</Properties>
</file>