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新!$A$13:$O$51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A4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<sst xmlns="http://schemas.openxmlformats.org/spreadsheetml/2006/main" count="213" uniqueCount="79">
  <si>
    <t>C10665  庐江县盛桥镇2018年农村公路盛苍路中修工程项目抽签</t>
  </si>
  <si>
    <t>中标日期</t>
  </si>
  <si>
    <t>中标价</t>
  </si>
  <si>
    <t>负责人</t>
  </si>
  <si>
    <t>施迎东</t>
  </si>
  <si>
    <t>建设单位</t>
  </si>
  <si>
    <t>庐江县盛桥镇人民政府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</si>
  <si>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</si>
  <si>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</si>
  <si>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</si>
  <si>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</si>
  <si>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</si>
  <si>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</si>
  <si>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</si>
  <si>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</si>
  <si>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</si>
  <si>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</si>
  <si>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</si>
  <si>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</si>
  <si>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</si>
  <si>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</si>
  <si>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</si>
  <si>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</si>
  <si>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</si>
  <si>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</si>
  <si>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</si>
  <si>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</si>
  <si>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</si>
  <si>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</si>
  <si>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</si>
  <si>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</si>
  <si>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</si>
  <si>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</si>
  <si>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</si>
  <si>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</si>
  <si>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</si>
  <si>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</si>
  <si>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19-1-</t>
  </si>
  <si>
    <t>普代</t>
  </si>
  <si>
    <t>曹保云</t>
  </si>
  <si>
    <t>工程款</t>
  </si>
  <si>
    <t>孙宜林、李永宏、高家年</t>
  </si>
  <si>
    <t>黄沙、水泥</t>
  </si>
  <si>
    <t>徽行</t>
  </si>
  <si>
    <t>劳务</t>
  </si>
  <si>
    <t>2份</t>
  </si>
  <si>
    <t>机械、碎石</t>
  </si>
  <si>
    <t>有</t>
  </si>
  <si>
    <t>扣</t>
  </si>
  <si>
    <t>管理费 18%</t>
  </si>
  <si>
    <t>2次</t>
  </si>
  <si>
    <t>转账手续费</t>
  </si>
  <si>
    <t>税金（总算）</t>
  </si>
  <si>
    <t>企税1.6%</t>
  </si>
  <si>
    <t>印花税及水利基金</t>
  </si>
  <si>
    <t>增值税及附加（19.11月开票）</t>
  </si>
  <si>
    <t>1次</t>
  </si>
  <si>
    <t>增值税及附加（19.1月开票）</t>
  </si>
  <si>
    <t>应提供成本</t>
  </si>
  <si>
    <t>可支付金额</t>
  </si>
  <si>
    <t>尚需提供成本</t>
  </si>
  <si>
    <t>公司代缴税金：</t>
  </si>
  <si>
    <t>税种</t>
  </si>
  <si>
    <t>税额</t>
  </si>
  <si>
    <t>19.1月开票扣税</t>
  </si>
  <si>
    <t>2019年11月税金</t>
  </si>
  <si>
    <t>2019年1月工程地缴税2%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</si>
  <si>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</si>
  <si>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</si>
  <si>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</si>
  <si>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</si>
  <si>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</si>
  <si>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</si>
  <si>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</si>
  <si>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</si>
  <si>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</si>
  <si>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庐江县盛桥镇2018年农村公路盛苍路中修工程项目抽签</t>
  </si>
  <si>
    <t>当初结算多付300 下次工程款扣回</t>
  </si>
  <si>
    <t xml:space="preserve">管理费 </t>
  </si>
</sst>
</file>

<file path=xl/styles.xml><?xml version="1.0" encoding="utf-8"?>
<styleSheet xmlns="http://schemas.openxmlformats.org/spreadsheetml/2006/main">
  <numFmts count="9">
    <numFmt numFmtId="176" formatCode="0.00_ "/>
    <numFmt numFmtId="42" formatCode="_ &quot;￥&quot;* #,##0_ ;_ &quot;￥&quot;* \-#,##0_ ;_ &quot;￥&quot;* &quot;-&quot;_ ;_ @_ "/>
    <numFmt numFmtId="177" formatCode="#,##0_ "/>
    <numFmt numFmtId="43" formatCode="_ * #,##0.00_ ;_ * \-#,##0.00_ ;_ * &quot;-&quot;??_ ;_ @_ "/>
    <numFmt numFmtId="178" formatCode="yy/m/d;@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_ "/>
    <numFmt numFmtId="180" formatCode="yyyy&quot;年&quot;m&quot;月&quot;;@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9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9" fontId="5" fillId="3" borderId="2" xfId="0" applyNumberFormat="1" applyFont="1" applyFill="1" applyBorder="1" applyAlignment="1">
      <alignment vertical="center"/>
    </xf>
    <xf numFmtId="179" fontId="5" fillId="4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179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/>
    </xf>
    <xf numFmtId="0" fontId="6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topLeftCell="A16" workbookViewId="0">
      <selection activeCell="L34" sqref="L34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22.875" style="6" customWidth="1"/>
    <col min="14" max="14" width="5.625" style="6" customWidth="1"/>
    <col min="15" max="15" width="29.7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43409</v>
      </c>
      <c r="C2" s="11" t="s">
        <v>2</v>
      </c>
      <c r="D2" s="11">
        <v>996600</v>
      </c>
      <c r="E2" s="12" t="s">
        <v>3</v>
      </c>
      <c r="F2" s="11" t="s">
        <v>4</v>
      </c>
      <c r="G2" s="13" t="s">
        <v>5</v>
      </c>
      <c r="H2" s="14" t="s">
        <v>6</v>
      </c>
      <c r="I2" s="46"/>
      <c r="J2" s="47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849059.3</v>
      </c>
      <c r="H3" s="16"/>
      <c r="I3" s="48"/>
      <c r="J3" s="16"/>
      <c r="K3" s="16"/>
      <c r="L3" s="16"/>
    </row>
    <row r="4" ht="18" customHeight="1" spans="1:12">
      <c r="A4" s="2" t="s">
        <v>9</v>
      </c>
      <c r="H4" s="16"/>
      <c r="I4" s="48"/>
      <c r="J4" s="16"/>
      <c r="K4" s="16"/>
      <c r="L4" s="16"/>
    </row>
    <row r="5" ht="18" customHeight="1" spans="1:11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  <c r="K5" s="65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43489</v>
      </c>
      <c r="B7" s="11">
        <f t="shared" ref="B7:B10" si="0">G7/(1+C7+E7)</f>
        <v>289090.909090909</v>
      </c>
      <c r="C7" s="58">
        <v>0</v>
      </c>
      <c r="D7" s="59">
        <f t="shared" ref="D7:D10" si="1">G7/(1+E7+C7)*C7</f>
        <v>0</v>
      </c>
      <c r="E7" s="58">
        <v>0.1</v>
      </c>
      <c r="F7" s="11">
        <f t="shared" ref="F7:F10" si="2">G7/(1+C7+E7)*E7</f>
        <v>28909.0909090909</v>
      </c>
      <c r="G7" s="60">
        <v>318000</v>
      </c>
      <c r="H7" s="20">
        <v>43488</v>
      </c>
      <c r="I7" s="11">
        <v>318000</v>
      </c>
      <c r="J7" s="50" t="s">
        <v>21</v>
      </c>
    </row>
    <row r="8" ht="18" customHeight="1" spans="1:10">
      <c r="A8" s="20">
        <v>43789</v>
      </c>
      <c r="B8" s="11">
        <f t="shared" si="0"/>
        <v>487210.366972477</v>
      </c>
      <c r="C8" s="58">
        <v>0</v>
      </c>
      <c r="D8" s="59">
        <f t="shared" si="1"/>
        <v>0</v>
      </c>
      <c r="E8" s="58">
        <v>0.09</v>
      </c>
      <c r="F8" s="11">
        <f t="shared" si="2"/>
        <v>43848.9330275229</v>
      </c>
      <c r="G8" s="60">
        <v>531059.3</v>
      </c>
      <c r="H8" s="20">
        <v>44250</v>
      </c>
      <c r="I8" s="11">
        <v>200000</v>
      </c>
      <c r="J8" s="50" t="s">
        <v>22</v>
      </c>
    </row>
    <row r="9" ht="18" customHeight="1" spans="1:10">
      <c r="A9" s="20"/>
      <c r="B9" s="11">
        <f t="shared" si="0"/>
        <v>0</v>
      </c>
      <c r="C9" s="22">
        <v>0.02</v>
      </c>
      <c r="D9" s="59">
        <f t="shared" si="1"/>
        <v>0</v>
      </c>
      <c r="E9" s="22">
        <v>0.08</v>
      </c>
      <c r="F9" s="11">
        <f t="shared" si="2"/>
        <v>0</v>
      </c>
      <c r="G9" s="60"/>
      <c r="H9" s="20">
        <v>44591</v>
      </c>
      <c r="I9" s="11">
        <v>331059.3</v>
      </c>
      <c r="J9" s="50" t="s">
        <v>22</v>
      </c>
    </row>
    <row r="10" ht="18" customHeight="1" spans="1:10">
      <c r="A10" s="20"/>
      <c r="B10" s="11">
        <f t="shared" si="0"/>
        <v>0</v>
      </c>
      <c r="C10" s="22">
        <v>0.02</v>
      </c>
      <c r="D10" s="59">
        <f t="shared" si="1"/>
        <v>0</v>
      </c>
      <c r="E10" s="22">
        <v>0.08</v>
      </c>
      <c r="F10" s="11">
        <f t="shared" si="2"/>
        <v>0</v>
      </c>
      <c r="G10" s="60"/>
      <c r="H10" s="20"/>
      <c r="I10" s="11"/>
      <c r="J10" s="50"/>
    </row>
    <row r="11" ht="18" customHeight="1" spans="1:10">
      <c r="A11" s="25" t="s">
        <v>23</v>
      </c>
      <c r="B11" s="61">
        <f t="shared" ref="B11:G11" si="3">SUM(B7:B10)</f>
        <v>776301.276063386</v>
      </c>
      <c r="C11" s="27"/>
      <c r="D11" s="27">
        <f t="shared" si="3"/>
        <v>0</v>
      </c>
      <c r="E11" s="27"/>
      <c r="F11" s="62">
        <f t="shared" si="3"/>
        <v>72758.0239366138</v>
      </c>
      <c r="G11" s="27">
        <f t="shared" si="3"/>
        <v>849059.3</v>
      </c>
      <c r="H11" s="30"/>
      <c r="I11" s="27">
        <f>SUM(I7:I10)</f>
        <v>849059.3</v>
      </c>
      <c r="J11" s="30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1" t="s">
        <v>25</v>
      </c>
      <c r="B13" s="18" t="s">
        <v>26</v>
      </c>
      <c r="C13" s="17" t="s">
        <v>27</v>
      </c>
      <c r="D13" s="17" t="s">
        <v>28</v>
      </c>
      <c r="E13" s="17" t="s">
        <v>16</v>
      </c>
      <c r="F13" s="18" t="s">
        <v>29</v>
      </c>
      <c r="G13" s="18" t="s">
        <v>14</v>
      </c>
      <c r="H13" s="17" t="s">
        <v>30</v>
      </c>
      <c r="I13" s="18" t="s">
        <v>31</v>
      </c>
      <c r="J13" s="17" t="s">
        <v>20</v>
      </c>
      <c r="K13" s="51" t="s">
        <v>32</v>
      </c>
      <c r="L13" s="19" t="s">
        <v>33</v>
      </c>
      <c r="M13" s="19" t="s">
        <v>34</v>
      </c>
      <c r="N13" s="19" t="s">
        <v>35</v>
      </c>
      <c r="O13" s="19" t="s">
        <v>36</v>
      </c>
    </row>
    <row r="14" s="1" customFormat="1" ht="18" customHeight="1" spans="1:15">
      <c r="A14" s="32" t="s">
        <v>37</v>
      </c>
      <c r="B14" s="63">
        <f>ROUND(G14/(1+E14),2)</f>
        <v>100000</v>
      </c>
      <c r="C14" s="33"/>
      <c r="D14" s="34" t="s">
        <v>38</v>
      </c>
      <c r="E14" s="35"/>
      <c r="F14" s="63">
        <f>ROUND(G14/(1+E14)*E14,2)</f>
        <v>0</v>
      </c>
      <c r="G14" s="60">
        <v>100000</v>
      </c>
      <c r="H14" s="20"/>
      <c r="I14" s="11"/>
      <c r="J14" s="50"/>
      <c r="K14" s="66" t="s">
        <v>39</v>
      </c>
      <c r="L14" s="66" t="s">
        <v>40</v>
      </c>
      <c r="M14" s="52"/>
      <c r="N14" s="52"/>
      <c r="O14" s="53"/>
    </row>
    <row r="15" s="1" customFormat="1" ht="18" customHeight="1" spans="1:15">
      <c r="A15" s="32" t="s">
        <v>37</v>
      </c>
      <c r="B15" s="63">
        <f>ROUND(G15/(1+E15),2)</f>
        <v>300000</v>
      </c>
      <c r="C15" s="33"/>
      <c r="D15" s="34" t="s">
        <v>38</v>
      </c>
      <c r="E15" s="35"/>
      <c r="F15" s="63">
        <f>ROUND(G15/(1+E15)*E15,2)</f>
        <v>0</v>
      </c>
      <c r="G15" s="60">
        <v>300000</v>
      </c>
      <c r="H15" s="20"/>
      <c r="I15" s="11"/>
      <c r="J15" s="50"/>
      <c r="K15" s="66" t="s">
        <v>41</v>
      </c>
      <c r="L15" s="66" t="s">
        <v>42</v>
      </c>
      <c r="M15" s="52"/>
      <c r="N15" s="52"/>
      <c r="O15" s="53"/>
    </row>
    <row r="16" s="1" customFormat="1" ht="18" customHeight="1" spans="1:15">
      <c r="A16" s="32"/>
      <c r="B16" s="63">
        <f>ROUND(G16/(1+E16),2)</f>
        <v>0</v>
      </c>
      <c r="C16" s="33"/>
      <c r="D16" s="34"/>
      <c r="E16" s="35"/>
      <c r="F16" s="63">
        <f>ROUND(G16/(1+E16)*E16,2)</f>
        <v>0</v>
      </c>
      <c r="G16" s="60"/>
      <c r="H16" s="20">
        <v>43498</v>
      </c>
      <c r="I16" s="11">
        <v>230725</v>
      </c>
      <c r="J16" s="50" t="s">
        <v>43</v>
      </c>
      <c r="K16" s="66" t="s">
        <v>39</v>
      </c>
      <c r="L16" s="67"/>
      <c r="M16" s="52"/>
      <c r="N16" s="52"/>
      <c r="O16" s="53"/>
    </row>
    <row r="17" s="1" customFormat="1" ht="18" customHeight="1" spans="1:15">
      <c r="A17" s="32">
        <v>43770</v>
      </c>
      <c r="B17" s="63">
        <f>ROUND(G17/(1+E17),2)</f>
        <v>100000</v>
      </c>
      <c r="C17" s="33"/>
      <c r="D17" s="34" t="s">
        <v>38</v>
      </c>
      <c r="E17" s="35"/>
      <c r="F17" s="63">
        <f>ROUND(G17/(1+E17)*E17,2)</f>
        <v>0</v>
      </c>
      <c r="G17" s="60">
        <v>100000</v>
      </c>
      <c r="H17" s="20"/>
      <c r="I17" s="11"/>
      <c r="J17" s="50"/>
      <c r="K17" s="66" t="s">
        <v>39</v>
      </c>
      <c r="L17" s="67" t="s">
        <v>44</v>
      </c>
      <c r="M17" s="52"/>
      <c r="N17" s="52"/>
      <c r="O17" s="53"/>
    </row>
    <row r="18" s="1" customFormat="1" ht="18" customHeight="1" spans="1:15">
      <c r="A18" s="32">
        <v>44228</v>
      </c>
      <c r="B18" s="63">
        <f>ROUND(G18/(1+E18),2)</f>
        <v>111100</v>
      </c>
      <c r="C18" s="33" t="s">
        <v>45</v>
      </c>
      <c r="D18" s="34" t="s">
        <v>38</v>
      </c>
      <c r="E18" s="35"/>
      <c r="F18" s="63">
        <f>ROUND(G18/(1+E18)*E18,2)</f>
        <v>0</v>
      </c>
      <c r="G18" s="60">
        <v>111100</v>
      </c>
      <c r="H18" s="20"/>
      <c r="I18" s="11"/>
      <c r="J18" s="50"/>
      <c r="K18" s="66" t="s">
        <v>39</v>
      </c>
      <c r="L18" s="67" t="s">
        <v>46</v>
      </c>
      <c r="M18" s="52" t="s">
        <v>47</v>
      </c>
      <c r="N18" s="52"/>
      <c r="O18" s="53"/>
    </row>
    <row r="19" s="1" customFormat="1" ht="18" customHeight="1" spans="1:15">
      <c r="A19" s="32"/>
      <c r="B19" s="63"/>
      <c r="C19" s="33"/>
      <c r="D19" s="34"/>
      <c r="E19" s="35"/>
      <c r="F19" s="63"/>
      <c r="G19" s="60"/>
      <c r="H19" s="20">
        <v>44252</v>
      </c>
      <c r="I19" s="11">
        <v>98602.42</v>
      </c>
      <c r="J19" s="50" t="s">
        <v>43</v>
      </c>
      <c r="K19" s="68" t="s">
        <v>39</v>
      </c>
      <c r="L19" s="67"/>
      <c r="M19" s="52"/>
      <c r="N19" s="52"/>
      <c r="O19" s="53"/>
    </row>
    <row r="20" s="1" customFormat="1" ht="18" customHeight="1" spans="1:15">
      <c r="A20" s="32"/>
      <c r="B20" s="63"/>
      <c r="C20" s="33"/>
      <c r="D20" s="34"/>
      <c r="E20" s="35"/>
      <c r="F20" s="63"/>
      <c r="G20" s="60"/>
      <c r="H20" s="20"/>
      <c r="I20" s="11"/>
      <c r="J20" s="50"/>
      <c r="K20" s="66"/>
      <c r="L20" s="53"/>
      <c r="M20" s="52"/>
      <c r="N20" s="52"/>
      <c r="O20" s="53"/>
    </row>
    <row r="21" s="1" customFormat="1" ht="18" customHeight="1" spans="1:15">
      <c r="A21" s="32"/>
      <c r="B21" s="63"/>
      <c r="C21" s="33"/>
      <c r="D21" s="34"/>
      <c r="E21" s="35"/>
      <c r="F21" s="63"/>
      <c r="G21" s="60"/>
      <c r="H21" s="20"/>
      <c r="I21" s="11"/>
      <c r="J21" s="50"/>
      <c r="K21" s="66"/>
      <c r="L21" s="53"/>
      <c r="M21" s="52"/>
      <c r="N21" s="52"/>
      <c r="O21" s="53"/>
    </row>
    <row r="22" s="1" customFormat="1" ht="18" customHeight="1" spans="1:15">
      <c r="A22" s="32"/>
      <c r="B22" s="63"/>
      <c r="C22" s="33"/>
      <c r="D22" s="34"/>
      <c r="E22" s="35"/>
      <c r="F22" s="63"/>
      <c r="G22" s="60"/>
      <c r="H22" s="20"/>
      <c r="I22" s="11"/>
      <c r="J22" s="50"/>
      <c r="K22" s="66"/>
      <c r="L22" s="53"/>
      <c r="M22" s="52"/>
      <c r="N22" s="52"/>
      <c r="O22" s="53"/>
    </row>
    <row r="23" s="1" customFormat="1" ht="18" customHeight="1" spans="1:15">
      <c r="A23" s="32"/>
      <c r="B23" s="63"/>
      <c r="C23" s="33"/>
      <c r="D23" s="34"/>
      <c r="E23" s="35"/>
      <c r="F23" s="63"/>
      <c r="G23" s="60"/>
      <c r="H23" s="20"/>
      <c r="I23" s="11"/>
      <c r="J23" s="50"/>
      <c r="K23" s="66"/>
      <c r="L23" s="53"/>
      <c r="M23" s="52"/>
      <c r="N23" s="52"/>
      <c r="O23" s="53"/>
    </row>
    <row r="24" s="1" customFormat="1" ht="18" customHeight="1" spans="1:15">
      <c r="A24" s="32"/>
      <c r="B24" s="63"/>
      <c r="C24" s="33"/>
      <c r="D24" s="34"/>
      <c r="E24" s="35"/>
      <c r="F24" s="63"/>
      <c r="G24" s="60"/>
      <c r="H24" s="20"/>
      <c r="I24" s="69"/>
      <c r="J24" s="70"/>
      <c r="K24" s="71"/>
      <c r="L24" s="53"/>
      <c r="M24" s="52"/>
      <c r="N24" s="52"/>
      <c r="O24" s="53"/>
    </row>
    <row r="25" s="1" customFormat="1" ht="18" customHeight="1" spans="1:15">
      <c r="A25" s="32"/>
      <c r="B25" s="63">
        <f t="shared" ref="B25:B37" si="4">ROUND(G25/(1+E25),2)</f>
        <v>59590.67</v>
      </c>
      <c r="C25" s="33"/>
      <c r="D25" s="34"/>
      <c r="E25" s="35"/>
      <c r="F25" s="63">
        <f t="shared" ref="F25:F37" si="5">ROUND(G25/(1+E25)*E25,2)</f>
        <v>0</v>
      </c>
      <c r="G25" s="60">
        <v>59590.67</v>
      </c>
      <c r="H25" s="20"/>
      <c r="I25" s="69">
        <f>I9*0.18</f>
        <v>59590.674</v>
      </c>
      <c r="J25" s="70" t="s">
        <v>48</v>
      </c>
      <c r="K25" s="72" t="s">
        <v>49</v>
      </c>
      <c r="L25" s="53"/>
      <c r="M25" s="52"/>
      <c r="N25" s="52"/>
      <c r="O25" s="53"/>
    </row>
    <row r="26" s="1" customFormat="1" ht="18" customHeight="1" spans="1:15">
      <c r="A26" s="32"/>
      <c r="B26" s="63">
        <f t="shared" si="4"/>
        <v>0</v>
      </c>
      <c r="C26" s="33"/>
      <c r="D26" s="34"/>
      <c r="E26" s="35"/>
      <c r="F26" s="63">
        <f t="shared" si="5"/>
        <v>0</v>
      </c>
      <c r="G26" s="60"/>
      <c r="H26" s="20" t="s">
        <v>50</v>
      </c>
      <c r="I26" s="11">
        <v>100</v>
      </c>
      <c r="J26" s="50" t="s">
        <v>48</v>
      </c>
      <c r="K26" s="54" t="s">
        <v>51</v>
      </c>
      <c r="L26" s="53"/>
      <c r="M26" s="52"/>
      <c r="N26" s="52"/>
      <c r="O26" s="53"/>
    </row>
    <row r="27" s="1" customFormat="1" ht="18" customHeight="1" spans="1:15">
      <c r="A27" s="32"/>
      <c r="B27" s="63">
        <f t="shared" si="4"/>
        <v>0</v>
      </c>
      <c r="C27" s="33"/>
      <c r="D27" s="34"/>
      <c r="E27" s="35"/>
      <c r="F27" s="63">
        <f t="shared" si="5"/>
        <v>0</v>
      </c>
      <c r="G27" s="60"/>
      <c r="H27" s="20" t="s">
        <v>50</v>
      </c>
      <c r="I27" s="11">
        <v>6938.19</v>
      </c>
      <c r="J27" s="50" t="s">
        <v>48</v>
      </c>
      <c r="K27" s="54" t="s">
        <v>52</v>
      </c>
      <c r="L27" s="53"/>
      <c r="M27" s="52"/>
      <c r="N27" s="52"/>
      <c r="O27" s="53"/>
    </row>
    <row r="28" s="1" customFormat="1" ht="18" customHeight="1" spans="1:15">
      <c r="A28" s="32"/>
      <c r="B28" s="63">
        <f t="shared" si="4"/>
        <v>0</v>
      </c>
      <c r="C28" s="33"/>
      <c r="D28" s="34"/>
      <c r="E28" s="35"/>
      <c r="F28" s="63">
        <f t="shared" si="5"/>
        <v>0</v>
      </c>
      <c r="G28" s="60"/>
      <c r="H28" s="20" t="s">
        <v>50</v>
      </c>
      <c r="I28" s="11">
        <v>8496.95</v>
      </c>
      <c r="J28" s="50" t="s">
        <v>48</v>
      </c>
      <c r="K28" s="54" t="s">
        <v>53</v>
      </c>
      <c r="L28" s="53"/>
      <c r="M28" s="52"/>
      <c r="N28" s="52"/>
      <c r="O28" s="53"/>
    </row>
    <row r="29" s="1" customFormat="1" ht="18" customHeight="1" spans="1:15">
      <c r="A29" s="32"/>
      <c r="B29" s="63">
        <f t="shared" si="4"/>
        <v>0</v>
      </c>
      <c r="C29" s="33"/>
      <c r="D29" s="34"/>
      <c r="E29" s="35"/>
      <c r="F29" s="63">
        <f t="shared" si="5"/>
        <v>0</v>
      </c>
      <c r="G29" s="60"/>
      <c r="H29" s="20" t="s">
        <v>50</v>
      </c>
      <c r="I29" s="11">
        <v>451.64</v>
      </c>
      <c r="J29" s="50" t="s">
        <v>48</v>
      </c>
      <c r="K29" s="54" t="s">
        <v>54</v>
      </c>
      <c r="L29" s="53"/>
      <c r="M29" s="52"/>
      <c r="N29" s="52"/>
      <c r="O29" s="53"/>
    </row>
    <row r="30" s="1" customFormat="1" ht="18" customHeight="1" spans="1:15">
      <c r="A30" s="32"/>
      <c r="B30" s="63">
        <f t="shared" si="4"/>
        <v>0</v>
      </c>
      <c r="C30" s="33"/>
      <c r="D30" s="34"/>
      <c r="E30" s="35"/>
      <c r="F30" s="63">
        <f t="shared" si="5"/>
        <v>0</v>
      </c>
      <c r="G30" s="60"/>
      <c r="H30" s="20" t="s">
        <v>50</v>
      </c>
      <c r="I30" s="11">
        <v>49110.8</v>
      </c>
      <c r="J30" s="50" t="s">
        <v>48</v>
      </c>
      <c r="K30" s="54" t="s">
        <v>55</v>
      </c>
      <c r="L30" s="53"/>
      <c r="M30" s="52"/>
      <c r="N30" s="52"/>
      <c r="O30" s="53"/>
    </row>
    <row r="31" s="1" customFormat="1" ht="18" customHeight="1" spans="1:15">
      <c r="A31" s="32"/>
      <c r="B31" s="63">
        <f t="shared" si="4"/>
        <v>36000</v>
      </c>
      <c r="C31" s="33"/>
      <c r="D31" s="34"/>
      <c r="E31" s="35"/>
      <c r="F31" s="63">
        <f t="shared" si="5"/>
        <v>0</v>
      </c>
      <c r="G31" s="60">
        <v>36000</v>
      </c>
      <c r="H31" s="20" t="s">
        <v>50</v>
      </c>
      <c r="I31" s="11">
        <v>36000</v>
      </c>
      <c r="J31" s="50" t="s">
        <v>48</v>
      </c>
      <c r="K31" s="54" t="s">
        <v>49</v>
      </c>
      <c r="L31" s="53"/>
      <c r="M31" s="52"/>
      <c r="N31" s="52"/>
      <c r="O31" s="53"/>
    </row>
    <row r="32" s="1" customFormat="1" ht="18" customHeight="1" spans="1:15">
      <c r="A32" s="32"/>
      <c r="B32" s="63">
        <f t="shared" si="4"/>
        <v>0</v>
      </c>
      <c r="C32" s="33"/>
      <c r="D32" s="34"/>
      <c r="E32" s="35"/>
      <c r="F32" s="63">
        <f t="shared" si="5"/>
        <v>0</v>
      </c>
      <c r="G32" s="60"/>
      <c r="H32" s="20" t="s">
        <v>56</v>
      </c>
      <c r="I32" s="11">
        <v>4626</v>
      </c>
      <c r="J32" s="50" t="s">
        <v>48</v>
      </c>
      <c r="K32" s="54" t="s">
        <v>53</v>
      </c>
      <c r="L32" s="53"/>
      <c r="M32" s="52"/>
      <c r="N32" s="52"/>
      <c r="O32" s="53"/>
    </row>
    <row r="33" s="1" customFormat="1" ht="18" customHeight="1" spans="1:15">
      <c r="A33" s="32"/>
      <c r="B33" s="63">
        <f t="shared" si="4"/>
        <v>0</v>
      </c>
      <c r="C33" s="33"/>
      <c r="D33" s="34"/>
      <c r="E33" s="35"/>
      <c r="F33" s="63">
        <f t="shared" si="5"/>
        <v>0</v>
      </c>
      <c r="G33" s="60"/>
      <c r="H33" s="20" t="s">
        <v>56</v>
      </c>
      <c r="I33" s="11">
        <v>269</v>
      </c>
      <c r="J33" s="50" t="s">
        <v>48</v>
      </c>
      <c r="K33" s="54" t="s">
        <v>54</v>
      </c>
      <c r="L33" s="53"/>
      <c r="M33" s="52"/>
      <c r="N33" s="52"/>
      <c r="O33" s="53"/>
    </row>
    <row r="34" s="1" customFormat="1" ht="18" customHeight="1" spans="1:15">
      <c r="A34" s="32"/>
      <c r="B34" s="63">
        <f t="shared" si="4"/>
        <v>0</v>
      </c>
      <c r="C34" s="33"/>
      <c r="D34" s="34"/>
      <c r="E34" s="35"/>
      <c r="F34" s="63">
        <f t="shared" si="5"/>
        <v>0</v>
      </c>
      <c r="G34" s="60"/>
      <c r="H34" s="20" t="s">
        <v>56</v>
      </c>
      <c r="I34" s="11">
        <v>25440</v>
      </c>
      <c r="J34" s="50" t="s">
        <v>48</v>
      </c>
      <c r="K34" s="54" t="s">
        <v>57</v>
      </c>
      <c r="L34" s="53"/>
      <c r="M34" s="52"/>
      <c r="N34" s="52"/>
      <c r="O34" s="53"/>
    </row>
    <row r="35" s="1" customFormat="1" ht="18" customHeight="1" spans="1:15">
      <c r="A35" s="32"/>
      <c r="B35" s="63">
        <f t="shared" si="4"/>
        <v>57240</v>
      </c>
      <c r="C35" s="33"/>
      <c r="D35" s="34"/>
      <c r="E35" s="35"/>
      <c r="F35" s="63">
        <f t="shared" si="5"/>
        <v>0</v>
      </c>
      <c r="G35" s="60">
        <f>57240</f>
        <v>57240</v>
      </c>
      <c r="H35" s="20" t="s">
        <v>56</v>
      </c>
      <c r="I35" s="11">
        <f>G35</f>
        <v>57240</v>
      </c>
      <c r="J35" s="50" t="s">
        <v>48</v>
      </c>
      <c r="K35" s="54" t="s">
        <v>49</v>
      </c>
      <c r="L35" s="53"/>
      <c r="M35" s="52"/>
      <c r="N35" s="52"/>
      <c r="O35" s="53"/>
    </row>
    <row r="36" ht="18" customHeight="1" spans="1:15">
      <c r="A36" s="27" t="s">
        <v>23</v>
      </c>
      <c r="B36" s="61">
        <f>SUM(B14:B35)</f>
        <v>763930.67</v>
      </c>
      <c r="C36" s="27"/>
      <c r="D36" s="36"/>
      <c r="E36" s="36"/>
      <c r="F36" s="62">
        <f>SUM(F14:F35)</f>
        <v>0</v>
      </c>
      <c r="G36" s="64">
        <f>SUM(G14:G35)</f>
        <v>763930.67</v>
      </c>
      <c r="H36" s="38"/>
      <c r="I36" s="27">
        <f>SUM(I14:I35)</f>
        <v>577590.674</v>
      </c>
      <c r="J36" s="55"/>
      <c r="K36" s="36"/>
      <c r="L36" s="30"/>
      <c r="M36" s="50"/>
      <c r="N36" s="50"/>
      <c r="O36" s="30"/>
    </row>
    <row r="37" ht="18" customHeight="1" spans="1:14">
      <c r="A37" s="39" t="s">
        <v>58</v>
      </c>
      <c r="B37" s="39">
        <f>B11*0.936</f>
        <v>726617.994395329</v>
      </c>
      <c r="C37" s="39"/>
      <c r="D37" s="41"/>
      <c r="E37" s="41"/>
      <c r="F37" s="40"/>
      <c r="G37" s="39">
        <f>G11-G36</f>
        <v>85128.63</v>
      </c>
      <c r="H37" s="19" t="s">
        <v>59</v>
      </c>
      <c r="I37" s="27">
        <f>I11-I36</f>
        <v>271468.626</v>
      </c>
      <c r="J37" s="6"/>
      <c r="K37" s="56"/>
      <c r="M37" s="57"/>
      <c r="N37" s="57"/>
    </row>
    <row r="38" ht="18" customHeight="1" spans="1:14">
      <c r="A38" s="39" t="s">
        <v>60</v>
      </c>
      <c r="B38" s="39">
        <f>B37-B36</f>
        <v>-37312.675604671</v>
      </c>
      <c r="C38" s="39"/>
      <c r="D38" s="41"/>
      <c r="E38" s="41"/>
      <c r="F38" s="40"/>
      <c r="G38" s="40"/>
      <c r="H38" s="42"/>
      <c r="I38" s="40"/>
      <c r="J38" s="6"/>
      <c r="K38" s="56"/>
      <c r="M38" s="57"/>
      <c r="N38" s="57"/>
    </row>
    <row r="39" ht="18" customHeight="1" spans="1:9">
      <c r="A39" s="2" t="s">
        <v>61</v>
      </c>
      <c r="C39" s="2"/>
      <c r="I39" s="3">
        <f>I34+I33+I30+I29+I27</f>
        <v>82209.63</v>
      </c>
    </row>
    <row r="40" ht="18" customHeight="1" spans="1:9">
      <c r="A40" s="19" t="s">
        <v>62</v>
      </c>
      <c r="B40" s="18" t="s">
        <v>63</v>
      </c>
      <c r="C40" s="30"/>
      <c r="D40" s="19" t="s">
        <v>62</v>
      </c>
      <c r="E40" s="17" t="s">
        <v>16</v>
      </c>
      <c r="F40" s="18" t="s">
        <v>63</v>
      </c>
      <c r="G40" s="18" t="s">
        <v>64</v>
      </c>
      <c r="H40" s="11" t="s">
        <v>65</v>
      </c>
      <c r="I40" s="21" t="s">
        <v>66</v>
      </c>
    </row>
    <row r="41" ht="18" customHeight="1" spans="1:9">
      <c r="A41" s="30" t="s">
        <v>67</v>
      </c>
      <c r="B41" s="15">
        <f>(B37-B36)*0.25</f>
        <v>-9328.16890116775</v>
      </c>
      <c r="C41" s="30"/>
      <c r="D41" s="25" t="s">
        <v>68</v>
      </c>
      <c r="E41" s="19" t="s">
        <v>69</v>
      </c>
      <c r="F41" s="62">
        <f>F11-F36</f>
        <v>72758.0239366138</v>
      </c>
      <c r="G41" s="62">
        <f>F7</f>
        <v>28909.0909090909</v>
      </c>
      <c r="H41" s="62">
        <f>F8</f>
        <v>43848.9330275229</v>
      </c>
      <c r="I41" s="62">
        <f>D7</f>
        <v>0</v>
      </c>
    </row>
    <row r="42" ht="18" customHeight="1" spans="1:9">
      <c r="A42" s="30" t="s">
        <v>70</v>
      </c>
      <c r="B42" s="43"/>
      <c r="C42" s="30"/>
      <c r="D42" s="44" t="s">
        <v>71</v>
      </c>
      <c r="E42" s="12">
        <v>0.07</v>
      </c>
      <c r="F42" s="11">
        <f>F41*E42</f>
        <v>5093.06167556297</v>
      </c>
      <c r="G42" s="11">
        <f>G41*0.05</f>
        <v>1445.45454545455</v>
      </c>
      <c r="H42" s="11">
        <f>H41*0.07</f>
        <v>3069.42531192661</v>
      </c>
      <c r="I42" s="11">
        <f>I41*E42</f>
        <v>0</v>
      </c>
    </row>
    <row r="43" ht="18" customHeight="1" spans="1:9">
      <c r="A43" s="30" t="s">
        <v>72</v>
      </c>
      <c r="B43" s="43"/>
      <c r="C43" s="30"/>
      <c r="D43" s="44" t="s">
        <v>73</v>
      </c>
      <c r="E43" s="12">
        <v>0.03</v>
      </c>
      <c r="F43" s="11">
        <f>F41*E43</f>
        <v>2182.74071809841</v>
      </c>
      <c r="G43" s="11">
        <f>G41*E43</f>
        <v>867.272727272727</v>
      </c>
      <c r="H43" s="11">
        <f>H41*E43</f>
        <v>1315.46799082569</v>
      </c>
      <c r="I43" s="11">
        <f>I41*E43</f>
        <v>0</v>
      </c>
    </row>
    <row r="44" ht="18" customHeight="1" spans="1:9">
      <c r="A44" s="30"/>
      <c r="B44" s="21"/>
      <c r="C44" s="30"/>
      <c r="D44" s="44" t="s">
        <v>74</v>
      </c>
      <c r="E44" s="12">
        <v>0.02</v>
      </c>
      <c r="F44" s="11">
        <f>F41*E44</f>
        <v>1455.16047873228</v>
      </c>
      <c r="G44" s="11">
        <f>G41*E44</f>
        <v>578.181818181818</v>
      </c>
      <c r="H44" s="11">
        <f>H41*E44</f>
        <v>876.978660550459</v>
      </c>
      <c r="I44" s="11">
        <f>I41*E44</f>
        <v>0</v>
      </c>
    </row>
    <row r="45" ht="18" customHeight="1" spans="1:9">
      <c r="A45" s="25" t="s">
        <v>75</v>
      </c>
      <c r="B45" s="26">
        <f t="shared" ref="B45:I45" si="6">SUM(B41:B44)</f>
        <v>-9328.16890116775</v>
      </c>
      <c r="C45" s="30"/>
      <c r="D45" s="31" t="s">
        <v>75</v>
      </c>
      <c r="E45" s="25"/>
      <c r="F45" s="62">
        <f t="shared" si="6"/>
        <v>81488.9868090074</v>
      </c>
      <c r="G45" s="62">
        <f t="shared" si="6"/>
        <v>31800</v>
      </c>
      <c r="H45" s="62">
        <f t="shared" si="6"/>
        <v>49110.8049908257</v>
      </c>
      <c r="I45" s="62">
        <f t="shared" si="6"/>
        <v>0</v>
      </c>
    </row>
    <row r="46" ht="18" customHeight="1" spans="3:8">
      <c r="C46" s="2"/>
      <c r="D46" s="11" t="s">
        <v>70</v>
      </c>
      <c r="E46" s="45">
        <v>0.0003</v>
      </c>
      <c r="F46" s="11">
        <f>G11*E46</f>
        <v>254.71779</v>
      </c>
      <c r="G46" s="11">
        <f>G7*E46</f>
        <v>95.4</v>
      </c>
      <c r="H46" s="11">
        <f>G8*E46</f>
        <v>159.31779</v>
      </c>
    </row>
    <row r="47" ht="18" customHeight="1" spans="3:8">
      <c r="C47" s="2"/>
      <c r="D47" s="11" t="s">
        <v>72</v>
      </c>
      <c r="E47" s="45">
        <v>0.0006</v>
      </c>
      <c r="F47" s="11">
        <f>B11*E47</f>
        <v>465.780765638032</v>
      </c>
      <c r="G47" s="11">
        <f>B7*E47</f>
        <v>173.454545454545</v>
      </c>
      <c r="H47" s="11">
        <f>B8*E47</f>
        <v>292.326220183486</v>
      </c>
    </row>
    <row r="48" ht="18" customHeight="1" spans="3:8">
      <c r="C48" s="2"/>
      <c r="D48" s="17" t="s">
        <v>75</v>
      </c>
      <c r="E48" s="36"/>
      <c r="F48" s="27">
        <f>F47+F46</f>
        <v>720.498555638032</v>
      </c>
      <c r="G48" s="27">
        <f>G47+G46</f>
        <v>268.854545454545</v>
      </c>
      <c r="H48" s="27">
        <f>SUM(H46:H47)</f>
        <v>451.644010183486</v>
      </c>
    </row>
    <row r="49" ht="18" customHeight="1" spans="3:8">
      <c r="C49" s="2"/>
      <c r="D49" s="17" t="s">
        <v>23</v>
      </c>
      <c r="E49" s="27"/>
      <c r="F49" s="27">
        <f>F45+F48</f>
        <v>82209.4853646455</v>
      </c>
      <c r="G49" s="27">
        <f>G45+G48</f>
        <v>32068.8545454545</v>
      </c>
      <c r="H49" s="27">
        <f>H45+H48</f>
        <v>49562.4490010092</v>
      </c>
    </row>
    <row r="50" ht="18" customHeight="1" spans="3:8">
      <c r="C50" s="2"/>
      <c r="D50" s="27" t="s">
        <v>67</v>
      </c>
      <c r="E50" s="36">
        <v>0.016</v>
      </c>
      <c r="F50" s="27">
        <f>B11*E50</f>
        <v>12420.8204170142</v>
      </c>
      <c r="G50" s="27">
        <f>B7*E50</f>
        <v>4625.45454545455</v>
      </c>
      <c r="H50" s="27">
        <f>G8*E50</f>
        <v>8496.9488</v>
      </c>
    </row>
    <row r="51" ht="18" customHeight="1" spans="3:6">
      <c r="C51" s="2"/>
      <c r="D51" s="27" t="s">
        <v>52</v>
      </c>
      <c r="E51" s="27"/>
      <c r="F51" s="28">
        <f>F45-I34-I30+I45</f>
        <v>6938.18680900744</v>
      </c>
    </row>
    <row r="52" ht="18" customHeight="1" spans="3:3">
      <c r="C52" s="2"/>
    </row>
    <row r="53" ht="18" customHeight="1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</sheetData>
  <autoFilter ref="A13:O5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opLeftCell="A4" workbookViewId="0">
      <selection activeCell="K5" sqref="K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76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43409</v>
      </c>
      <c r="C2" s="11" t="s">
        <v>2</v>
      </c>
      <c r="D2" s="11">
        <v>996600</v>
      </c>
      <c r="E2" s="12" t="s">
        <v>3</v>
      </c>
      <c r="F2" s="11" t="s">
        <v>4</v>
      </c>
      <c r="G2" s="13" t="s">
        <v>5</v>
      </c>
      <c r="H2" s="14" t="s">
        <v>6</v>
      </c>
      <c r="I2" s="46"/>
      <c r="J2" s="47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/>
      <c r="H3" s="16"/>
      <c r="I3" s="48"/>
      <c r="J3" s="16"/>
      <c r="K3" s="16"/>
      <c r="L3" s="16"/>
    </row>
    <row r="4" ht="18" customHeight="1" spans="1:12">
      <c r="A4" s="2" t="s">
        <v>9</v>
      </c>
      <c r="H4" s="16"/>
      <c r="I4" s="48"/>
      <c r="J4" s="16"/>
      <c r="K4" s="16"/>
      <c r="L4" s="16"/>
    </row>
    <row r="5" ht="18" customHeight="1" spans="1:11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  <c r="K5" s="49" t="s">
        <v>77</v>
      </c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43489</v>
      </c>
      <c r="B7" s="21">
        <f t="shared" ref="B7:B8" si="0">G7/(1+C7+E7)</f>
        <v>289090.909090909</v>
      </c>
      <c r="C7" s="22">
        <v>0.02</v>
      </c>
      <c r="D7" s="23">
        <f t="shared" ref="D7:D8" si="1">G7/(1+E7+C7)*C7</f>
        <v>5781.81818181818</v>
      </c>
      <c r="E7" s="22">
        <v>0.08</v>
      </c>
      <c r="F7" s="21">
        <f t="shared" ref="F7:F8" si="2">G7/(1+C7+E7)*E7</f>
        <v>23127.2727272727</v>
      </c>
      <c r="G7" s="24">
        <v>318000</v>
      </c>
      <c r="H7" s="20">
        <v>43488</v>
      </c>
      <c r="I7" s="21">
        <v>318000</v>
      </c>
      <c r="J7" s="50" t="s">
        <v>21</v>
      </c>
    </row>
    <row r="8" ht="18" customHeight="1" spans="1:10">
      <c r="A8" s="20"/>
      <c r="B8" s="21">
        <f t="shared" si="0"/>
        <v>0</v>
      </c>
      <c r="C8" s="22">
        <v>0.02</v>
      </c>
      <c r="D8" s="23">
        <f t="shared" si="1"/>
        <v>0</v>
      </c>
      <c r="E8" s="22">
        <v>0.08</v>
      </c>
      <c r="F8" s="21">
        <f t="shared" si="2"/>
        <v>0</v>
      </c>
      <c r="G8" s="24"/>
      <c r="H8" s="20"/>
      <c r="I8" s="21"/>
      <c r="J8" s="50"/>
    </row>
    <row r="9" ht="18" customHeight="1" spans="1:10">
      <c r="A9" s="20"/>
      <c r="B9" s="21">
        <f t="shared" ref="B9:B10" si="3">G9/(1+C9+E9)</f>
        <v>0</v>
      </c>
      <c r="C9" s="22">
        <v>0.02</v>
      </c>
      <c r="D9" s="23">
        <f t="shared" ref="D9:D10" si="4">G9/(1+E9+C9)*C9</f>
        <v>0</v>
      </c>
      <c r="E9" s="22">
        <v>0.08</v>
      </c>
      <c r="F9" s="21">
        <f t="shared" ref="F9:F10" si="5">G9/(1+C9+E9)*E9</f>
        <v>0</v>
      </c>
      <c r="G9" s="24"/>
      <c r="H9" s="20"/>
      <c r="I9" s="21"/>
      <c r="J9" s="50"/>
    </row>
    <row r="10" ht="18" customHeight="1" spans="1:10">
      <c r="A10" s="20"/>
      <c r="B10" s="21">
        <f t="shared" si="3"/>
        <v>0</v>
      </c>
      <c r="C10" s="22">
        <v>0.02</v>
      </c>
      <c r="D10" s="23">
        <f t="shared" si="4"/>
        <v>0</v>
      </c>
      <c r="E10" s="22">
        <v>0.08</v>
      </c>
      <c r="F10" s="21">
        <f t="shared" si="5"/>
        <v>0</v>
      </c>
      <c r="G10" s="24"/>
      <c r="H10" s="20"/>
      <c r="I10" s="21"/>
      <c r="J10" s="50"/>
    </row>
    <row r="11" ht="18" customHeight="1" spans="1:10">
      <c r="A11" s="25" t="s">
        <v>23</v>
      </c>
      <c r="B11" s="26">
        <f>SUM(B7:B10)</f>
        <v>289090.909090909</v>
      </c>
      <c r="C11" s="27"/>
      <c r="D11" s="28">
        <f t="shared" ref="D11:G11" si="6">SUM(D7:D10)</f>
        <v>5781.81818181818</v>
      </c>
      <c r="E11" s="27"/>
      <c r="F11" s="29">
        <f t="shared" si="6"/>
        <v>23127.2727272727</v>
      </c>
      <c r="G11" s="28">
        <f t="shared" si="6"/>
        <v>318000</v>
      </c>
      <c r="H11" s="30"/>
      <c r="I11" s="28">
        <f>SUM(I7:I10)</f>
        <v>318000</v>
      </c>
      <c r="J11" s="30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1" t="s">
        <v>25</v>
      </c>
      <c r="B13" s="18" t="s">
        <v>26</v>
      </c>
      <c r="C13" s="17" t="s">
        <v>27</v>
      </c>
      <c r="D13" s="17" t="s">
        <v>28</v>
      </c>
      <c r="E13" s="17" t="s">
        <v>16</v>
      </c>
      <c r="F13" s="18" t="s">
        <v>29</v>
      </c>
      <c r="G13" s="18" t="s">
        <v>14</v>
      </c>
      <c r="H13" s="17" t="s">
        <v>30</v>
      </c>
      <c r="I13" s="18" t="s">
        <v>31</v>
      </c>
      <c r="J13" s="17" t="s">
        <v>20</v>
      </c>
      <c r="K13" s="51" t="s">
        <v>32</v>
      </c>
      <c r="L13" s="19" t="s">
        <v>33</v>
      </c>
      <c r="M13" s="19" t="s">
        <v>34</v>
      </c>
      <c r="N13" s="19" t="s">
        <v>35</v>
      </c>
      <c r="O13" s="19" t="s">
        <v>36</v>
      </c>
    </row>
    <row r="14" s="1" customFormat="1" ht="18" customHeight="1" spans="1:15">
      <c r="A14" s="32" t="s">
        <v>37</v>
      </c>
      <c r="B14" s="15">
        <f t="shared" ref="B14:B27" si="7">ROUND(G14/(1+E14),2)</f>
        <v>100000</v>
      </c>
      <c r="C14" s="33"/>
      <c r="D14" s="34" t="s">
        <v>38</v>
      </c>
      <c r="E14" s="35"/>
      <c r="F14" s="15">
        <f t="shared" ref="F14:F27" si="8">ROUND(G14/(1+E14)*E14,2)</f>
        <v>0</v>
      </c>
      <c r="G14" s="24">
        <v>100000</v>
      </c>
      <c r="H14" s="20"/>
      <c r="I14" s="21"/>
      <c r="J14" s="50"/>
      <c r="K14" s="34" t="s">
        <v>39</v>
      </c>
      <c r="L14" s="34" t="s">
        <v>40</v>
      </c>
      <c r="M14" s="52"/>
      <c r="N14" s="52"/>
      <c r="O14" s="53"/>
    </row>
    <row r="15" s="1" customFormat="1" ht="18" customHeight="1" spans="1:15">
      <c r="A15" s="32" t="s">
        <v>37</v>
      </c>
      <c r="B15" s="15">
        <f t="shared" si="7"/>
        <v>300000</v>
      </c>
      <c r="C15" s="33"/>
      <c r="D15" s="34" t="s">
        <v>38</v>
      </c>
      <c r="E15" s="35"/>
      <c r="F15" s="15">
        <f t="shared" si="8"/>
        <v>0</v>
      </c>
      <c r="G15" s="24">
        <v>300000</v>
      </c>
      <c r="H15" s="20"/>
      <c r="I15" s="21"/>
      <c r="J15" s="50"/>
      <c r="K15" s="34" t="s">
        <v>41</v>
      </c>
      <c r="L15" s="34" t="s">
        <v>42</v>
      </c>
      <c r="M15" s="52"/>
      <c r="N15" s="52"/>
      <c r="O15" s="53"/>
    </row>
    <row r="16" s="1" customFormat="1" ht="18" customHeight="1" spans="1:15">
      <c r="A16" s="32"/>
      <c r="B16" s="15">
        <f t="shared" si="7"/>
        <v>0</v>
      </c>
      <c r="C16" s="33"/>
      <c r="D16" s="34"/>
      <c r="E16" s="35"/>
      <c r="F16" s="15">
        <f t="shared" si="8"/>
        <v>0</v>
      </c>
      <c r="G16" s="24"/>
      <c r="H16" s="20">
        <v>43498</v>
      </c>
      <c r="I16" s="21">
        <v>230725</v>
      </c>
      <c r="J16" s="50" t="s">
        <v>43</v>
      </c>
      <c r="K16" s="34" t="s">
        <v>39</v>
      </c>
      <c r="L16" s="53"/>
      <c r="M16" s="52"/>
      <c r="N16" s="52"/>
      <c r="O16" s="53"/>
    </row>
    <row r="17" s="1" customFormat="1" ht="18" customHeight="1" spans="1:15">
      <c r="A17" s="32">
        <v>43770</v>
      </c>
      <c r="B17" s="15">
        <f t="shared" si="7"/>
        <v>100000</v>
      </c>
      <c r="C17" s="33"/>
      <c r="D17" s="34" t="s">
        <v>38</v>
      </c>
      <c r="E17" s="35"/>
      <c r="F17" s="15">
        <f t="shared" si="8"/>
        <v>0</v>
      </c>
      <c r="G17" s="24">
        <v>100000</v>
      </c>
      <c r="H17" s="20"/>
      <c r="I17" s="21"/>
      <c r="J17" s="50"/>
      <c r="K17" s="34" t="s">
        <v>39</v>
      </c>
      <c r="L17" s="53" t="s">
        <v>44</v>
      </c>
      <c r="M17" s="52"/>
      <c r="N17" s="52"/>
      <c r="O17" s="53"/>
    </row>
    <row r="18" s="1" customFormat="1" ht="18" customHeight="1" spans="1:15">
      <c r="A18" s="32"/>
      <c r="B18" s="15">
        <f t="shared" si="7"/>
        <v>0</v>
      </c>
      <c r="C18" s="33"/>
      <c r="D18" s="34"/>
      <c r="E18" s="35"/>
      <c r="F18" s="15">
        <f t="shared" si="8"/>
        <v>0</v>
      </c>
      <c r="G18" s="24"/>
      <c r="H18" s="20"/>
      <c r="I18" s="21"/>
      <c r="J18" s="50"/>
      <c r="K18" s="54"/>
      <c r="L18" s="53"/>
      <c r="M18" s="52"/>
      <c r="N18" s="52"/>
      <c r="O18" s="53"/>
    </row>
    <row r="19" s="1" customFormat="1" ht="18" customHeight="1" spans="1:15">
      <c r="A19" s="32"/>
      <c r="B19" s="15">
        <f t="shared" si="7"/>
        <v>0</v>
      </c>
      <c r="C19" s="33"/>
      <c r="D19" s="34"/>
      <c r="E19" s="35"/>
      <c r="F19" s="15">
        <f t="shared" si="8"/>
        <v>0</v>
      </c>
      <c r="G19" s="24"/>
      <c r="H19" s="20"/>
      <c r="I19" s="21"/>
      <c r="J19" s="50"/>
      <c r="K19" s="54"/>
      <c r="L19" s="53"/>
      <c r="M19" s="52"/>
      <c r="N19" s="52"/>
      <c r="O19" s="53"/>
    </row>
    <row r="20" s="1" customFormat="1" ht="18" customHeight="1" spans="1:15">
      <c r="A20" s="32"/>
      <c r="B20" s="15">
        <f t="shared" si="7"/>
        <v>0</v>
      </c>
      <c r="C20" s="33"/>
      <c r="D20" s="34"/>
      <c r="E20" s="35"/>
      <c r="F20" s="15">
        <f t="shared" si="8"/>
        <v>0</v>
      </c>
      <c r="G20" s="24"/>
      <c r="H20" s="20"/>
      <c r="I20" s="21"/>
      <c r="J20" s="50"/>
      <c r="K20" s="54"/>
      <c r="L20" s="53"/>
      <c r="M20" s="52"/>
      <c r="N20" s="52"/>
      <c r="O20" s="53"/>
    </row>
    <row r="21" s="1" customFormat="1" ht="18" customHeight="1" spans="1:15">
      <c r="A21" s="32"/>
      <c r="B21" s="15">
        <f t="shared" si="7"/>
        <v>0</v>
      </c>
      <c r="C21" s="33"/>
      <c r="D21" s="34"/>
      <c r="E21" s="35"/>
      <c r="F21" s="15">
        <f t="shared" si="8"/>
        <v>0</v>
      </c>
      <c r="G21" s="24"/>
      <c r="H21" s="20"/>
      <c r="I21" s="21"/>
      <c r="J21" s="50"/>
      <c r="K21" s="54"/>
      <c r="L21" s="53"/>
      <c r="M21" s="52"/>
      <c r="N21" s="52"/>
      <c r="O21" s="53"/>
    </row>
    <row r="22" s="1" customFormat="1" ht="18" customHeight="1" spans="1:15">
      <c r="A22" s="32"/>
      <c r="B22" s="15">
        <f t="shared" si="7"/>
        <v>0</v>
      </c>
      <c r="C22" s="33"/>
      <c r="D22" s="34"/>
      <c r="E22" s="35"/>
      <c r="F22" s="15">
        <f t="shared" si="8"/>
        <v>0</v>
      </c>
      <c r="G22" s="24"/>
      <c r="H22" s="20"/>
      <c r="I22" s="21"/>
      <c r="J22" s="50"/>
      <c r="K22" s="54"/>
      <c r="L22" s="53"/>
      <c r="M22" s="52"/>
      <c r="N22" s="52"/>
      <c r="O22" s="53"/>
    </row>
    <row r="23" s="1" customFormat="1" ht="18" customHeight="1" spans="1:15">
      <c r="A23" s="32"/>
      <c r="B23" s="15">
        <f t="shared" si="7"/>
        <v>0</v>
      </c>
      <c r="C23" s="33"/>
      <c r="D23" s="34"/>
      <c r="E23" s="35"/>
      <c r="F23" s="15">
        <f t="shared" si="8"/>
        <v>0</v>
      </c>
      <c r="G23" s="24"/>
      <c r="H23" s="20"/>
      <c r="I23" s="21"/>
      <c r="J23" s="50"/>
      <c r="K23" s="54"/>
      <c r="L23" s="53"/>
      <c r="M23" s="52"/>
      <c r="N23" s="52"/>
      <c r="O23" s="53"/>
    </row>
    <row r="24" s="1" customFormat="1" ht="18" customHeight="1" spans="1:15">
      <c r="A24" s="32"/>
      <c r="B24" s="15">
        <f t="shared" si="7"/>
        <v>0</v>
      </c>
      <c r="C24" s="33"/>
      <c r="D24" s="34"/>
      <c r="E24" s="35"/>
      <c r="F24" s="15">
        <f t="shared" si="8"/>
        <v>0</v>
      </c>
      <c r="G24" s="24"/>
      <c r="H24" s="20"/>
      <c r="I24" s="21"/>
      <c r="J24" s="50"/>
      <c r="K24" s="54"/>
      <c r="L24" s="53"/>
      <c r="M24" s="52"/>
      <c r="N24" s="52"/>
      <c r="O24" s="53"/>
    </row>
    <row r="25" s="1" customFormat="1" ht="18" customHeight="1" spans="1:15">
      <c r="A25" s="32"/>
      <c r="B25" s="15">
        <f t="shared" si="7"/>
        <v>0</v>
      </c>
      <c r="C25" s="33"/>
      <c r="D25" s="34"/>
      <c r="E25" s="35"/>
      <c r="F25" s="15">
        <f t="shared" si="8"/>
        <v>0</v>
      </c>
      <c r="G25" s="24"/>
      <c r="H25" s="20"/>
      <c r="I25" s="21"/>
      <c r="J25" s="50"/>
      <c r="K25" s="54"/>
      <c r="L25" s="53"/>
      <c r="M25" s="52"/>
      <c r="N25" s="52"/>
      <c r="O25" s="53"/>
    </row>
    <row r="26" s="1" customFormat="1" ht="18" customHeight="1" spans="1:15">
      <c r="A26" s="32"/>
      <c r="B26" s="15">
        <f t="shared" si="7"/>
        <v>0</v>
      </c>
      <c r="C26" s="33"/>
      <c r="D26" s="34"/>
      <c r="E26" s="35"/>
      <c r="F26" s="15">
        <f t="shared" si="8"/>
        <v>0</v>
      </c>
      <c r="G26" s="24"/>
      <c r="H26" s="20"/>
      <c r="I26" s="21">
        <v>4626</v>
      </c>
      <c r="J26" s="50" t="s">
        <v>48</v>
      </c>
      <c r="K26" s="54" t="s">
        <v>53</v>
      </c>
      <c r="L26" s="53"/>
      <c r="M26" s="52"/>
      <c r="N26" s="52"/>
      <c r="O26" s="53"/>
    </row>
    <row r="27" s="1" customFormat="1" ht="18" customHeight="1" spans="1:15">
      <c r="A27" s="32"/>
      <c r="B27" s="15">
        <f t="shared" si="7"/>
        <v>0</v>
      </c>
      <c r="C27" s="33"/>
      <c r="D27" s="34"/>
      <c r="E27" s="35"/>
      <c r="F27" s="15">
        <f t="shared" si="8"/>
        <v>0</v>
      </c>
      <c r="G27" s="24"/>
      <c r="H27" s="20"/>
      <c r="I27" s="21">
        <v>269</v>
      </c>
      <c r="J27" s="50" t="s">
        <v>48</v>
      </c>
      <c r="K27" s="54" t="s">
        <v>54</v>
      </c>
      <c r="L27" s="53"/>
      <c r="M27" s="52"/>
      <c r="N27" s="52"/>
      <c r="O27" s="53"/>
    </row>
    <row r="28" s="1" customFormat="1" ht="18" customHeight="1" spans="1:15">
      <c r="A28" s="32"/>
      <c r="B28" s="15">
        <f t="shared" ref="B28:B31" si="9">ROUND(G28/(1+E28),2)</f>
        <v>0</v>
      </c>
      <c r="C28" s="33"/>
      <c r="D28" s="34"/>
      <c r="E28" s="35"/>
      <c r="F28" s="15">
        <f t="shared" ref="F28:F31" si="10">ROUND(G28/(1+E28)*E28,2)</f>
        <v>0</v>
      </c>
      <c r="G28" s="24"/>
      <c r="H28" s="20"/>
      <c r="I28" s="21">
        <v>25440</v>
      </c>
      <c r="J28" s="50" t="s">
        <v>48</v>
      </c>
      <c r="K28" s="54" t="s">
        <v>57</v>
      </c>
      <c r="L28" s="53"/>
      <c r="M28" s="52"/>
      <c r="N28" s="52"/>
      <c r="O28" s="53"/>
    </row>
    <row r="29" s="1" customFormat="1" ht="18" customHeight="1" spans="1:15">
      <c r="A29" s="32"/>
      <c r="B29" s="15">
        <f t="shared" si="9"/>
        <v>0</v>
      </c>
      <c r="C29" s="33"/>
      <c r="D29" s="34"/>
      <c r="E29" s="35"/>
      <c r="F29" s="15">
        <f t="shared" si="10"/>
        <v>0</v>
      </c>
      <c r="G29" s="24"/>
      <c r="H29" s="20"/>
      <c r="I29" s="21"/>
      <c r="J29" s="50"/>
      <c r="K29" s="54"/>
      <c r="L29" s="53"/>
      <c r="M29" s="52"/>
      <c r="N29" s="52"/>
      <c r="O29" s="53"/>
    </row>
    <row r="30" s="1" customFormat="1" ht="18" customHeight="1" spans="1:15">
      <c r="A30" s="32"/>
      <c r="B30" s="15">
        <f t="shared" si="9"/>
        <v>57240</v>
      </c>
      <c r="C30" s="33"/>
      <c r="D30" s="34"/>
      <c r="E30" s="35"/>
      <c r="F30" s="15">
        <f t="shared" si="10"/>
        <v>0</v>
      </c>
      <c r="G30" s="24">
        <f>57240</f>
        <v>57240</v>
      </c>
      <c r="H30" s="20"/>
      <c r="I30" s="21">
        <f>G30</f>
        <v>57240</v>
      </c>
      <c r="J30" s="50" t="s">
        <v>48</v>
      </c>
      <c r="K30" s="54" t="s">
        <v>78</v>
      </c>
      <c r="L30" s="53"/>
      <c r="M30" s="52"/>
      <c r="N30" s="52"/>
      <c r="O30" s="53"/>
    </row>
    <row r="31" s="1" customFormat="1" ht="18" customHeight="1" spans="1:15">
      <c r="A31" s="32"/>
      <c r="B31" s="15">
        <f t="shared" si="9"/>
        <v>0</v>
      </c>
      <c r="C31" s="33"/>
      <c r="D31" s="34"/>
      <c r="E31" s="35"/>
      <c r="F31" s="15">
        <f t="shared" si="10"/>
        <v>0</v>
      </c>
      <c r="G31" s="24"/>
      <c r="H31" s="20"/>
      <c r="I31" s="21"/>
      <c r="J31" s="50"/>
      <c r="K31" s="54"/>
      <c r="L31" s="53"/>
      <c r="M31" s="52"/>
      <c r="N31" s="52"/>
      <c r="O31" s="53"/>
    </row>
    <row r="32" ht="18" customHeight="1" spans="1:15">
      <c r="A32" s="27" t="s">
        <v>23</v>
      </c>
      <c r="B32" s="26">
        <f>SUM(B14:B31)</f>
        <v>557240</v>
      </c>
      <c r="C32" s="27"/>
      <c r="D32" s="36"/>
      <c r="E32" s="36"/>
      <c r="F32" s="29">
        <f>SUM(F14:F31)</f>
        <v>0</v>
      </c>
      <c r="G32" s="37">
        <f>SUM(G14:G31)</f>
        <v>557240</v>
      </c>
      <c r="H32" s="38"/>
      <c r="I32" s="28">
        <f>SUM(I14:I31)</f>
        <v>318300</v>
      </c>
      <c r="J32" s="55"/>
      <c r="K32" s="36"/>
      <c r="L32" s="30"/>
      <c r="M32" s="50"/>
      <c r="N32" s="50"/>
      <c r="O32" s="30"/>
    </row>
    <row r="33" ht="18" customHeight="1" spans="1:14">
      <c r="A33" s="39" t="s">
        <v>58</v>
      </c>
      <c r="B33" s="40">
        <f>B11*0.984</f>
        <v>284465.454545455</v>
      </c>
      <c r="C33" s="39"/>
      <c r="D33" s="41"/>
      <c r="E33" s="41"/>
      <c r="F33" s="40"/>
      <c r="G33" s="40">
        <f>G11-G32</f>
        <v>-239240</v>
      </c>
      <c r="H33" s="19" t="s">
        <v>59</v>
      </c>
      <c r="I33" s="28">
        <f>I11-I32</f>
        <v>-300</v>
      </c>
      <c r="J33" s="6"/>
      <c r="K33" s="56"/>
      <c r="M33" s="57"/>
      <c r="N33" s="57"/>
    </row>
    <row r="34" ht="18" customHeight="1" spans="1:14">
      <c r="A34" s="39" t="s">
        <v>60</v>
      </c>
      <c r="B34" s="40">
        <f>B33-B32</f>
        <v>-272774.545454545</v>
      </c>
      <c r="C34" s="39"/>
      <c r="D34" s="41"/>
      <c r="E34" s="41"/>
      <c r="F34" s="40"/>
      <c r="G34" s="40"/>
      <c r="H34" s="42"/>
      <c r="I34" s="40"/>
      <c r="J34" s="6"/>
      <c r="K34" s="56"/>
      <c r="M34" s="57"/>
      <c r="N34" s="57"/>
    </row>
    <row r="35" ht="18" customHeight="1" spans="1:3">
      <c r="A35" s="2" t="s">
        <v>61</v>
      </c>
      <c r="C35" s="2"/>
    </row>
    <row r="36" ht="18" customHeight="1" spans="1:7">
      <c r="A36" s="19" t="s">
        <v>62</v>
      </c>
      <c r="B36" s="18" t="s">
        <v>63</v>
      </c>
      <c r="C36" s="30"/>
      <c r="D36" s="19" t="s">
        <v>62</v>
      </c>
      <c r="E36" s="17" t="s">
        <v>16</v>
      </c>
      <c r="F36" s="18" t="s">
        <v>63</v>
      </c>
      <c r="G36" s="18" t="s">
        <v>64</v>
      </c>
    </row>
    <row r="37" ht="18" customHeight="1" spans="1:7">
      <c r="A37" s="30" t="s">
        <v>67</v>
      </c>
      <c r="B37" s="15">
        <f>(B33-B32)*0.25</f>
        <v>-68193.6363636363</v>
      </c>
      <c r="C37" s="30"/>
      <c r="D37" s="25" t="s">
        <v>68</v>
      </c>
      <c r="E37" s="19" t="s">
        <v>69</v>
      </c>
      <c r="F37" s="29">
        <f>F11-F32</f>
        <v>23127.2727272727</v>
      </c>
      <c r="G37" s="29">
        <f>F7</f>
        <v>23127.2727272727</v>
      </c>
    </row>
    <row r="38" ht="18" customHeight="1" spans="1:7">
      <c r="A38" s="30" t="s">
        <v>70</v>
      </c>
      <c r="B38" s="43"/>
      <c r="C38" s="30"/>
      <c r="D38" s="44" t="s">
        <v>71</v>
      </c>
      <c r="E38" s="12">
        <v>0.05</v>
      </c>
      <c r="F38" s="21">
        <f>F37*E38</f>
        <v>1156.36363636363</v>
      </c>
      <c r="G38" s="21">
        <f>G37*E38</f>
        <v>1156.36363636364</v>
      </c>
    </row>
    <row r="39" ht="18" customHeight="1" spans="1:7">
      <c r="A39" s="30" t="s">
        <v>72</v>
      </c>
      <c r="B39" s="43"/>
      <c r="C39" s="30"/>
      <c r="D39" s="44" t="s">
        <v>73</v>
      </c>
      <c r="E39" s="12">
        <v>0.03</v>
      </c>
      <c r="F39" s="21">
        <f>F37*E39</f>
        <v>693.818181818181</v>
      </c>
      <c r="G39" s="21">
        <f>G37*E39</f>
        <v>693.818181818182</v>
      </c>
    </row>
    <row r="40" ht="18" customHeight="1" spans="1:7">
      <c r="A40" s="30"/>
      <c r="B40" s="21"/>
      <c r="C40" s="30"/>
      <c r="D40" s="44" t="s">
        <v>74</v>
      </c>
      <c r="E40" s="12">
        <v>0.02</v>
      </c>
      <c r="F40" s="21">
        <f>F37*E40</f>
        <v>462.545454545454</v>
      </c>
      <c r="G40" s="21">
        <f>G37*E40</f>
        <v>462.545454545455</v>
      </c>
    </row>
    <row r="41" ht="18" customHeight="1" spans="1:7">
      <c r="A41" s="25" t="s">
        <v>75</v>
      </c>
      <c r="B41" s="26">
        <f>SUM(B37:B40)</f>
        <v>-68193.6363636363</v>
      </c>
      <c r="C41" s="30"/>
      <c r="D41" s="31" t="s">
        <v>75</v>
      </c>
      <c r="E41" s="25"/>
      <c r="F41" s="29">
        <f>SUM(F37:F40)</f>
        <v>25440</v>
      </c>
      <c r="G41" s="29">
        <f>SUM(G37:G40)</f>
        <v>25440</v>
      </c>
    </row>
    <row r="42" ht="18" customHeight="1" spans="3:7">
      <c r="C42" s="2"/>
      <c r="D42" s="11" t="s">
        <v>70</v>
      </c>
      <c r="E42" s="45">
        <v>0.0003</v>
      </c>
      <c r="F42" s="21">
        <f>G11*E42</f>
        <v>95.4</v>
      </c>
      <c r="G42" s="21">
        <f>G7*E42</f>
        <v>95.4</v>
      </c>
    </row>
    <row r="43" ht="18" customHeight="1" spans="3:7">
      <c r="C43" s="2"/>
      <c r="D43" s="11" t="s">
        <v>72</v>
      </c>
      <c r="E43" s="45">
        <v>0.0006</v>
      </c>
      <c r="F43" s="21">
        <f>B11*E43</f>
        <v>173.454545454545</v>
      </c>
      <c r="G43" s="21">
        <f>B7*E43</f>
        <v>173.454545454545</v>
      </c>
    </row>
    <row r="44" ht="18" customHeight="1" spans="3:7">
      <c r="C44" s="2"/>
      <c r="D44" s="17" t="s">
        <v>75</v>
      </c>
      <c r="E44" s="36"/>
      <c r="F44" s="28">
        <f>F43+F42</f>
        <v>268.854545454545</v>
      </c>
      <c r="G44" s="28">
        <f>G43+G42</f>
        <v>268.854545454545</v>
      </c>
    </row>
    <row r="45" ht="18" customHeight="1" spans="3:7">
      <c r="C45" s="2"/>
      <c r="D45" s="17" t="s">
        <v>23</v>
      </c>
      <c r="E45" s="27"/>
      <c r="F45" s="28">
        <f>F41+F44</f>
        <v>25708.8545454545</v>
      </c>
      <c r="G45" s="28">
        <f>G41+G44</f>
        <v>25708.8545454545</v>
      </c>
    </row>
    <row r="46" ht="18" customHeight="1" spans="3:7">
      <c r="C46" s="2"/>
      <c r="D46" s="27" t="s">
        <v>67</v>
      </c>
      <c r="E46" s="36">
        <v>0.016</v>
      </c>
      <c r="F46" s="28">
        <f>B11*E46</f>
        <v>4625.45454545455</v>
      </c>
      <c r="G46" s="28">
        <f>B7*E46</f>
        <v>4625.45454545455</v>
      </c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2022-02-14T03:46:46Z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20BFC5A59ECE4F74B09DECBAEADC0857</vt:lpwstr>
  </property>
</Properties>
</file>