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庐江县石头镇三拐村标准化卫生室工程施工（小额）" sheetId="1" r:id="rId1"/>
    <sheet name="庐江县郭河镇2018年道路交通安全隐患整改工程" sheetId="2" r:id="rId2"/>
    <sheet name="庐江县石头镇2018年农村公路（夏屯路）生命安全防护工程（定点" sheetId="3" r:id="rId3"/>
  </sheets>
  <definedNames>
    <definedName name="_xlnm._FilterDatabase" localSheetId="0" hidden="1">'庐江县石头镇三拐村标准化卫生室工程施工（小额）'!$A$13:$O$29</definedName>
    <definedName name="_xlnm._FilterDatabase" localSheetId="1" hidden="1">庐江县郭河镇2018年道路交通安全隐患整改工程!$A$13:$O$51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F49" authorId="1">
      <text>
        <r>
          <rPr>
            <sz val="9"/>
            <rFont val="宋体"/>
            <charset val="134"/>
          </rPr>
          <t xml:space="preserve">cw09:
开票预收款33399.76元
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F46" authorId="1">
      <text>
        <r>
          <rPr>
            <sz val="9"/>
            <rFont val="宋体"/>
            <charset val="134"/>
          </rPr>
          <t>cw09:
收税金52670.17元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A3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<sst xmlns="http://schemas.openxmlformats.org/spreadsheetml/2006/main" count="366" uniqueCount="125">
  <si>
    <t>C10626  庐江县石头镇三拐村标准化卫生室工程施工（小额）</t>
  </si>
  <si>
    <t>中标日期</t>
  </si>
  <si>
    <t>中标价</t>
  </si>
  <si>
    <t>负责人</t>
  </si>
  <si>
    <t>施迎东</t>
  </si>
  <si>
    <t>建设单位</t>
  </si>
  <si>
    <t>庐江县石头镇人民政府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</si>
  <si>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</si>
  <si>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</si>
  <si>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</si>
  <si>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</si>
  <si>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</si>
  <si>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</si>
  <si>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</si>
  <si>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</si>
  <si>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</si>
  <si>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</si>
  <si>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</si>
  <si>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</si>
  <si>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</si>
  <si>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</si>
  <si>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</si>
  <si>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</si>
  <si>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</si>
  <si>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</si>
  <si>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</si>
  <si>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</si>
  <si>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</si>
  <si>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</si>
  <si>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</si>
  <si>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</si>
  <si>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</si>
  <si>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</si>
  <si>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</si>
  <si>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</si>
  <si>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</si>
  <si>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</si>
  <si>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庐江县诚信工程造价有限公司</t>
  </si>
  <si>
    <t>工程造价审核费</t>
  </si>
  <si>
    <t>结清证明</t>
  </si>
  <si>
    <t>安徽海旭智能门窗有限公司</t>
  </si>
  <si>
    <t>防盗门</t>
  </si>
  <si>
    <t>有收据</t>
  </si>
  <si>
    <t>庐江县银鑫建材有限公司</t>
  </si>
  <si>
    <t>空心砖8200块</t>
  </si>
  <si>
    <t>普</t>
  </si>
  <si>
    <t>庐江县庐城镇凯兴螺丝大王供应站</t>
  </si>
  <si>
    <t>五金配件</t>
  </si>
  <si>
    <t>加油票</t>
  </si>
  <si>
    <t>专票</t>
  </si>
  <si>
    <t>马鞍山春辉物资有限公司</t>
  </si>
  <si>
    <t>螺纹12.55吨</t>
  </si>
  <si>
    <t>有</t>
  </si>
  <si>
    <t>庐江县徐光照木材经营部</t>
  </si>
  <si>
    <t>板材</t>
  </si>
  <si>
    <t>王必顺</t>
  </si>
  <si>
    <t>防水材料</t>
  </si>
  <si>
    <t>合肥市同庆建筑劳务有限公司</t>
  </si>
  <si>
    <t>机械租赁费</t>
  </si>
  <si>
    <t>许跃</t>
  </si>
  <si>
    <t>水泥混凝土</t>
  </si>
  <si>
    <t>普代</t>
  </si>
  <si>
    <t>周绪东</t>
  </si>
  <si>
    <t>水泥、黄沙、石子</t>
  </si>
  <si>
    <t>俞国兰</t>
  </si>
  <si>
    <t>人工费</t>
  </si>
  <si>
    <t>宛新宏</t>
  </si>
  <si>
    <t>委托付款函</t>
  </si>
  <si>
    <t>1次</t>
  </si>
  <si>
    <t>扣</t>
  </si>
  <si>
    <t>手续费</t>
  </si>
  <si>
    <t>企税1%</t>
  </si>
  <si>
    <t>印花税、水利基金</t>
  </si>
  <si>
    <t>补收增值税（合肥立皖交通设施制造有限公司 248590.35元专票，录错项目）</t>
  </si>
  <si>
    <t>全部管理费</t>
  </si>
  <si>
    <t>应提供成本</t>
  </si>
  <si>
    <t>可支付金额</t>
  </si>
  <si>
    <t>尚需提供成本</t>
  </si>
  <si>
    <t>公司代缴税金：</t>
  </si>
  <si>
    <t>税种</t>
  </si>
  <si>
    <t>税额</t>
  </si>
  <si>
    <t>夏屯路收税金</t>
  </si>
  <si>
    <t>本次补扣</t>
  </si>
  <si>
    <t>2019.12工程地缴税2%</t>
  </si>
  <si>
    <t>2021.1月工程地缴税2%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</si>
  <si>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</si>
  <si>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</si>
  <si>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</si>
  <si>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</si>
  <si>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</si>
  <si>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</si>
  <si>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</si>
  <si>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</si>
  <si>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</si>
  <si>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1-10退开票税金33399.76</t>
  </si>
  <si>
    <t xml:space="preserve"> </t>
  </si>
  <si>
    <t>庐江县郭河镇2018年道路交通安全隐患整改工程</t>
  </si>
  <si>
    <t>庐江县郭河镇人民政府</t>
  </si>
  <si>
    <t>中行</t>
  </si>
  <si>
    <t>庐江中信会计师事务所</t>
  </si>
  <si>
    <t>清单编制费</t>
  </si>
  <si>
    <t>有结清证明</t>
  </si>
  <si>
    <t>按此提供成本</t>
  </si>
  <si>
    <t>安徽华顺工程建设咨询有限公司庐江分公司</t>
  </si>
  <si>
    <t>其他鉴证服务</t>
  </si>
  <si>
    <t>合肥立皖交通设施制造有限公司</t>
  </si>
  <si>
    <t>护栏1476米</t>
  </si>
  <si>
    <t>补合同</t>
  </si>
  <si>
    <t>2020.3.20借款支付</t>
  </si>
  <si>
    <t>机打</t>
  </si>
  <si>
    <t>过路费</t>
  </si>
  <si>
    <t>减速带</t>
  </si>
  <si>
    <t>笪久燕</t>
  </si>
  <si>
    <t>合肥立皖交通设施制造有限公司、笪久燕（借款形式支付）</t>
  </si>
  <si>
    <t>2次</t>
  </si>
  <si>
    <t>转账手续费</t>
  </si>
  <si>
    <t>2021年1月增值税及附加</t>
  </si>
  <si>
    <t>2021年1月工程地缴税2%</t>
  </si>
  <si>
    <t>2021年1月开票税金</t>
  </si>
  <si>
    <t>庐江县石头镇2018年农村公路（夏屯路）生命安全防护工程（定点抽签）</t>
  </si>
  <si>
    <t>护栏835米</t>
  </si>
  <si>
    <t>油票代替机械费</t>
  </si>
  <si>
    <t>过路费代替机械费</t>
  </si>
  <si>
    <t>护栏款</t>
  </si>
  <si>
    <t>管理费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</si>
</sst>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333333"/>
      <name val="ˎ̥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5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left" vertical="center"/>
    </xf>
    <xf numFmtId="176" fontId="5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9" fontId="1" fillId="0" borderId="2" xfId="0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 wrapText="1"/>
    </xf>
    <xf numFmtId="57" fontId="2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8" fillId="0" borderId="0" xfId="0" applyFont="1"/>
    <xf numFmtId="9" fontId="2" fillId="5" borderId="2" xfId="11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 wrapText="1"/>
    </xf>
    <xf numFmtId="177" fontId="5" fillId="4" borderId="2" xfId="0" applyNumberFormat="1" applyFont="1" applyFill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176" fontId="7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659130</xdr:colOff>
      <xdr:row>67</xdr:row>
      <xdr:rowOff>9525</xdr:rowOff>
    </xdr:from>
    <xdr:to>
      <xdr:col>10</xdr:col>
      <xdr:colOff>2625725</xdr:colOff>
      <xdr:row>75</xdr:row>
      <xdr:rowOff>38100</xdr:rowOff>
    </xdr:to>
    <xdr:pic>
      <xdr:nvPicPr>
        <xdr:cNvPr id="2" name="图片 1" descr="30(TVSA5B`X~1I1`VE(XCI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130" y="14676120"/>
          <a:ext cx="10050780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topLeftCell="A18" workbookViewId="0">
      <selection activeCell="G39" sqref="G39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5.3333333333333" style="67" customWidth="1"/>
    <col min="12" max="12" width="12.775" style="1" customWidth="1"/>
    <col min="13" max="13" width="6" style="1" customWidth="1"/>
    <col min="14" max="14" width="17.1083333333333" style="1" customWidth="1"/>
    <col min="15" max="16384" width="9" style="1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72"/>
      <c r="L1" s="18"/>
    </row>
    <row r="2" ht="18" customHeight="1" spans="1:12">
      <c r="A2" s="9" t="s">
        <v>1</v>
      </c>
      <c r="B2" s="10">
        <v>43399</v>
      </c>
      <c r="C2" s="11" t="s">
        <v>2</v>
      </c>
      <c r="D2" s="84">
        <v>5167999.09</v>
      </c>
      <c r="E2" s="13" t="s">
        <v>3</v>
      </c>
      <c r="F2" s="14" t="s">
        <v>4</v>
      </c>
      <c r="G2" s="15" t="s">
        <v>5</v>
      </c>
      <c r="H2" s="16" t="s">
        <v>6</v>
      </c>
      <c r="I2" s="54"/>
      <c r="J2" s="55"/>
      <c r="K2" s="72"/>
      <c r="L2" s="18"/>
    </row>
    <row r="3" ht="18" customHeight="1" spans="1:12">
      <c r="A3" s="9" t="s">
        <v>7</v>
      </c>
      <c r="B3" s="17"/>
      <c r="C3" s="11" t="s">
        <v>8</v>
      </c>
      <c r="D3" s="11">
        <v>394785.44</v>
      </c>
      <c r="H3" s="18"/>
      <c r="I3" s="56"/>
      <c r="J3" s="18"/>
      <c r="K3" s="72"/>
      <c r="L3" s="18"/>
    </row>
    <row r="4" ht="18" customHeight="1" spans="1:12">
      <c r="A4" s="5" t="s">
        <v>9</v>
      </c>
      <c r="H4" s="18"/>
      <c r="I4" s="56"/>
      <c r="J4" s="18"/>
      <c r="K4" s="72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2">
      <c r="A7" s="22">
        <v>43817</v>
      </c>
      <c r="B7" s="11">
        <f t="shared" ref="B7:B8" si="0">G7/(1+C7+E7)</f>
        <v>325969.724770642</v>
      </c>
      <c r="C7" s="25">
        <v>0.02</v>
      </c>
      <c r="D7" s="24">
        <f t="shared" ref="D7:D8" si="1">G7/(1+E7+C7)*C7</f>
        <v>6519.39449541284</v>
      </c>
      <c r="E7" s="25">
        <v>0.07</v>
      </c>
      <c r="F7" s="11">
        <f t="shared" ref="F7:F8" si="2">G7/(1+C7+E7)*E7</f>
        <v>22817.880733945</v>
      </c>
      <c r="G7" s="26">
        <v>355307</v>
      </c>
      <c r="H7" s="22">
        <v>43852</v>
      </c>
      <c r="I7" s="11">
        <v>355300</v>
      </c>
      <c r="J7" s="57"/>
      <c r="L7" s="1">
        <f>F7*1.1</f>
        <v>25099.6688073395</v>
      </c>
    </row>
    <row r="8" ht="18" customHeight="1" spans="1:10">
      <c r="A8" s="22">
        <v>44216</v>
      </c>
      <c r="B8" s="11">
        <f t="shared" si="0"/>
        <v>36225.1743119266</v>
      </c>
      <c r="C8" s="25">
        <v>0.02</v>
      </c>
      <c r="D8" s="24">
        <f t="shared" si="1"/>
        <v>724.503486238532</v>
      </c>
      <c r="E8" s="25">
        <v>0.07</v>
      </c>
      <c r="F8" s="11">
        <f t="shared" si="2"/>
        <v>2535.76220183486</v>
      </c>
      <c r="G8" s="26">
        <v>39485.44</v>
      </c>
      <c r="H8" s="22">
        <v>44449</v>
      </c>
      <c r="I8" s="11">
        <v>39485.44</v>
      </c>
      <c r="J8" s="57" t="s">
        <v>21</v>
      </c>
    </row>
    <row r="9" ht="18" customHeight="1" spans="1:10">
      <c r="A9" s="22"/>
      <c r="B9" s="11">
        <f t="shared" ref="B9:B10" si="3">G9/(1+C9+E9)</f>
        <v>0</v>
      </c>
      <c r="C9" s="23"/>
      <c r="D9" s="24">
        <f t="shared" ref="D9:D10" si="4">G9/(1+E9+C9)*C9</f>
        <v>0</v>
      </c>
      <c r="E9" s="23"/>
      <c r="F9" s="11">
        <f t="shared" ref="F9:F10" si="5">G9/(1+C9+E9)*E9</f>
        <v>0</v>
      </c>
      <c r="G9" s="26"/>
      <c r="H9" s="22"/>
      <c r="I9" s="11"/>
      <c r="J9" s="57"/>
    </row>
    <row r="10" ht="18" customHeight="1" spans="1:10">
      <c r="A10" s="22"/>
      <c r="B10" s="11">
        <f t="shared" si="3"/>
        <v>0</v>
      </c>
      <c r="C10" s="23"/>
      <c r="D10" s="24">
        <f t="shared" si="4"/>
        <v>0</v>
      </c>
      <c r="E10" s="23"/>
      <c r="F10" s="11">
        <f t="shared" si="5"/>
        <v>0</v>
      </c>
      <c r="G10" s="26"/>
      <c r="H10" s="22"/>
      <c r="I10" s="11"/>
      <c r="J10" s="57"/>
    </row>
    <row r="11" ht="18" customHeight="1" spans="1:10">
      <c r="A11" s="27" t="s">
        <v>22</v>
      </c>
      <c r="B11" s="28">
        <f>SUM(B7:B10)</f>
        <v>362194.899082569</v>
      </c>
      <c r="C11" s="29"/>
      <c r="D11" s="29">
        <f t="shared" ref="D11:G11" si="6">SUM(D7:D10)</f>
        <v>7243.89798165138</v>
      </c>
      <c r="E11" s="29"/>
      <c r="F11" s="30">
        <f t="shared" si="6"/>
        <v>25353.6429357798</v>
      </c>
      <c r="G11" s="29">
        <f t="shared" si="6"/>
        <v>394792.44</v>
      </c>
      <c r="H11" s="31"/>
      <c r="I11" s="29">
        <f>SUM(I7:I10)</f>
        <v>394785.44</v>
      </c>
      <c r="J11" s="31"/>
    </row>
    <row r="12" ht="18" customHeight="1" spans="1:12">
      <c r="A12" s="5" t="s">
        <v>23</v>
      </c>
      <c r="I12" s="4">
        <f>D3-I11</f>
        <v>0</v>
      </c>
      <c r="J12" s="3"/>
      <c r="K12" s="73"/>
      <c r="L12" s="6"/>
    </row>
    <row r="13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4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5">
      <c r="A14" s="33">
        <v>43800</v>
      </c>
      <c r="B14" s="37">
        <f t="shared" ref="B14:B22" si="7">ROUND(G14/(1+E14),2)</f>
        <v>3883.5</v>
      </c>
      <c r="C14" s="38"/>
      <c r="D14" s="39" t="s">
        <v>36</v>
      </c>
      <c r="E14" s="85">
        <v>0.03</v>
      </c>
      <c r="F14" s="37">
        <f>ROUND(G14/(1+E14)*E14,2)</f>
        <v>116.5</v>
      </c>
      <c r="G14" s="26">
        <v>4000</v>
      </c>
      <c r="H14" s="22"/>
      <c r="I14" s="11"/>
      <c r="J14" s="57"/>
      <c r="K14" s="75" t="s">
        <v>37</v>
      </c>
      <c r="L14" s="60" t="s">
        <v>38</v>
      </c>
      <c r="M14" s="62"/>
      <c r="N14" s="62" t="s">
        <v>39</v>
      </c>
      <c r="O14" s="60"/>
    </row>
    <row r="15" s="2" customFormat="1" ht="18" customHeight="1" spans="1:15">
      <c r="A15" s="33">
        <v>43800</v>
      </c>
      <c r="B15" s="37">
        <f t="shared" si="7"/>
        <v>2477.88</v>
      </c>
      <c r="C15" s="38"/>
      <c r="D15" s="39" t="s">
        <v>36</v>
      </c>
      <c r="E15" s="85">
        <v>0.13</v>
      </c>
      <c r="F15" s="37">
        <f>ROUND(G15/(1+E15)*E15,2)</f>
        <v>322.12</v>
      </c>
      <c r="G15" s="26">
        <v>2800</v>
      </c>
      <c r="H15" s="22"/>
      <c r="I15" s="11"/>
      <c r="J15" s="57"/>
      <c r="K15" s="75" t="s">
        <v>40</v>
      </c>
      <c r="L15" s="60" t="s">
        <v>41</v>
      </c>
      <c r="M15" s="62"/>
      <c r="N15" s="62" t="s">
        <v>42</v>
      </c>
      <c r="O15" s="60"/>
    </row>
    <row r="16" ht="18" customHeight="1" spans="1:15">
      <c r="A16" s="33">
        <v>43800</v>
      </c>
      <c r="B16" s="11">
        <f t="shared" si="7"/>
        <v>8200</v>
      </c>
      <c r="C16" s="34"/>
      <c r="D16" s="39" t="s">
        <v>36</v>
      </c>
      <c r="E16" s="36">
        <v>0.13</v>
      </c>
      <c r="F16" s="11">
        <f>ROUND(G16/(1+E16)*E16,2)</f>
        <v>1066</v>
      </c>
      <c r="G16" s="69">
        <v>9266</v>
      </c>
      <c r="H16" s="22"/>
      <c r="I16" s="11"/>
      <c r="J16" s="57"/>
      <c r="K16" s="76" t="s">
        <v>43</v>
      </c>
      <c r="L16" s="31" t="s">
        <v>44</v>
      </c>
      <c r="M16" s="57"/>
      <c r="N16" s="57"/>
      <c r="O16" s="31"/>
    </row>
    <row r="17" s="2" customFormat="1" ht="18" customHeight="1" spans="1:15">
      <c r="A17" s="33">
        <v>43800</v>
      </c>
      <c r="B17" s="37">
        <f t="shared" si="7"/>
        <v>3500</v>
      </c>
      <c r="C17" s="38"/>
      <c r="D17" s="39" t="s">
        <v>45</v>
      </c>
      <c r="E17" s="40"/>
      <c r="F17" s="37">
        <f>ROUND(G17/(1+E17)*E17,2)</f>
        <v>0</v>
      </c>
      <c r="G17" s="26">
        <v>3500</v>
      </c>
      <c r="H17" s="22"/>
      <c r="I17" s="11"/>
      <c r="J17" s="57"/>
      <c r="K17" s="75" t="s">
        <v>46</v>
      </c>
      <c r="L17" s="60" t="s">
        <v>47</v>
      </c>
      <c r="M17" s="62"/>
      <c r="N17" s="62" t="s">
        <v>42</v>
      </c>
      <c r="O17" s="60"/>
    </row>
    <row r="18" s="2" customFormat="1" ht="18" customHeight="1" spans="1:15">
      <c r="A18" s="33">
        <v>43800</v>
      </c>
      <c r="B18" s="11">
        <f t="shared" si="7"/>
        <v>5705</v>
      </c>
      <c r="C18" s="38"/>
      <c r="D18" s="39" t="s">
        <v>45</v>
      </c>
      <c r="E18" s="40"/>
      <c r="F18" s="37"/>
      <c r="G18" s="26">
        <v>5705</v>
      </c>
      <c r="H18" s="22"/>
      <c r="I18" s="11"/>
      <c r="J18" s="57"/>
      <c r="K18" s="75" t="s">
        <v>48</v>
      </c>
      <c r="L18" s="60"/>
      <c r="M18" s="62"/>
      <c r="N18" s="62"/>
      <c r="O18" s="60"/>
    </row>
    <row r="19" s="2" customFormat="1" ht="18" customHeight="1" spans="1:15">
      <c r="A19" s="33">
        <v>43800</v>
      </c>
      <c r="B19" s="37">
        <f t="shared" si="7"/>
        <v>25607.05</v>
      </c>
      <c r="C19" s="38"/>
      <c r="D19" s="39" t="s">
        <v>45</v>
      </c>
      <c r="E19" s="40"/>
      <c r="F19" s="37">
        <f>ROUND(G19/(1+E19)*E19,2)</f>
        <v>0</v>
      </c>
      <c r="G19" s="26">
        <v>25607.05</v>
      </c>
      <c r="H19" s="22"/>
      <c r="I19" s="11"/>
      <c r="J19" s="57"/>
      <c r="K19" s="75" t="s">
        <v>48</v>
      </c>
      <c r="L19" s="60"/>
      <c r="M19" s="62"/>
      <c r="N19" s="62"/>
      <c r="O19" s="60"/>
    </row>
    <row r="20" s="2" customFormat="1" ht="18" customHeight="1" spans="1:15">
      <c r="A20" s="33">
        <v>43831</v>
      </c>
      <c r="B20" s="11">
        <f t="shared" si="7"/>
        <v>42941.59</v>
      </c>
      <c r="C20" s="38"/>
      <c r="D20" s="39" t="s">
        <v>49</v>
      </c>
      <c r="E20" s="85">
        <v>0.13</v>
      </c>
      <c r="F20" s="37">
        <f>ROUND(G20/(1+E20)*E20,2)</f>
        <v>5582.41</v>
      </c>
      <c r="G20" s="26">
        <v>48524</v>
      </c>
      <c r="H20" s="22"/>
      <c r="I20" s="11"/>
      <c r="J20" s="57"/>
      <c r="K20" s="75" t="s">
        <v>50</v>
      </c>
      <c r="L20" s="60" t="s">
        <v>51</v>
      </c>
      <c r="M20" s="62" t="s">
        <v>52</v>
      </c>
      <c r="N20" s="62"/>
      <c r="O20" s="60"/>
    </row>
    <row r="21" s="2" customFormat="1" ht="18" customHeight="1" spans="1:15">
      <c r="A21" s="33">
        <v>43891</v>
      </c>
      <c r="B21" s="37">
        <f t="shared" si="7"/>
        <v>9880</v>
      </c>
      <c r="C21" s="38"/>
      <c r="D21" s="39" t="s">
        <v>45</v>
      </c>
      <c r="E21" s="40"/>
      <c r="F21" s="37">
        <f t="shared" ref="F21:F29" si="8">ROUND(G21/(1+E21)*E21,2)</f>
        <v>0</v>
      </c>
      <c r="G21" s="26">
        <v>9880</v>
      </c>
      <c r="H21" s="22"/>
      <c r="I21" s="11"/>
      <c r="J21" s="57"/>
      <c r="K21" s="75" t="s">
        <v>53</v>
      </c>
      <c r="L21" s="60" t="s">
        <v>54</v>
      </c>
      <c r="M21" s="62"/>
      <c r="N21" s="62"/>
      <c r="O21" s="60"/>
    </row>
    <row r="22" s="2" customFormat="1" ht="18" customHeight="1" spans="1:15">
      <c r="A22" s="33">
        <v>43891</v>
      </c>
      <c r="B22" s="11">
        <f t="shared" si="7"/>
        <v>9888</v>
      </c>
      <c r="C22" s="38"/>
      <c r="D22" s="39" t="s">
        <v>45</v>
      </c>
      <c r="E22" s="40"/>
      <c r="F22" s="37">
        <f t="shared" si="8"/>
        <v>0</v>
      </c>
      <c r="G22" s="26">
        <v>9888</v>
      </c>
      <c r="H22" s="22"/>
      <c r="I22" s="11"/>
      <c r="J22" s="57"/>
      <c r="K22" s="75" t="s">
        <v>55</v>
      </c>
      <c r="L22" s="60" t="s">
        <v>56</v>
      </c>
      <c r="M22" s="62"/>
      <c r="N22" s="62"/>
      <c r="O22" s="60"/>
    </row>
    <row r="23" s="2" customFormat="1" ht="18" customHeight="1" spans="1:15">
      <c r="A23" s="33">
        <v>43891</v>
      </c>
      <c r="B23" s="37">
        <f t="shared" ref="B21:B29" si="9">ROUND(G23/(1+E23),2)</f>
        <v>1570</v>
      </c>
      <c r="C23" s="38"/>
      <c r="D23" s="39" t="s">
        <v>45</v>
      </c>
      <c r="E23" s="40"/>
      <c r="F23" s="37">
        <f t="shared" si="8"/>
        <v>0</v>
      </c>
      <c r="G23" s="26">
        <v>1570</v>
      </c>
      <c r="H23" s="22"/>
      <c r="I23" s="11"/>
      <c r="J23" s="57"/>
      <c r="K23" s="75" t="s">
        <v>57</v>
      </c>
      <c r="L23" s="60" t="s">
        <v>58</v>
      </c>
      <c r="M23" s="62"/>
      <c r="N23" s="62"/>
      <c r="O23" s="60"/>
    </row>
    <row r="24" s="2" customFormat="1" ht="18" customHeight="1" spans="1:15">
      <c r="A24" s="33">
        <v>43891</v>
      </c>
      <c r="B24" s="37">
        <f t="shared" si="9"/>
        <v>74200</v>
      </c>
      <c r="C24" s="38"/>
      <c r="D24" s="39" t="s">
        <v>45</v>
      </c>
      <c r="E24" s="40"/>
      <c r="F24" s="37">
        <f t="shared" si="8"/>
        <v>0</v>
      </c>
      <c r="G24" s="26">
        <v>74200</v>
      </c>
      <c r="H24" s="22"/>
      <c r="I24" s="11"/>
      <c r="J24" s="57"/>
      <c r="K24" s="75" t="s">
        <v>59</v>
      </c>
      <c r="L24" s="60" t="s">
        <v>60</v>
      </c>
      <c r="M24" s="62" t="s">
        <v>52</v>
      </c>
      <c r="N24" s="62"/>
      <c r="O24" s="60"/>
    </row>
    <row r="25" s="2" customFormat="1" ht="18" customHeight="1" spans="1:15">
      <c r="A25" s="33">
        <v>43891</v>
      </c>
      <c r="B25" s="37">
        <f t="shared" si="9"/>
        <v>30000</v>
      </c>
      <c r="C25" s="38"/>
      <c r="D25" s="39" t="s">
        <v>61</v>
      </c>
      <c r="E25" s="40"/>
      <c r="F25" s="37">
        <f t="shared" si="8"/>
        <v>0</v>
      </c>
      <c r="G25" s="26">
        <v>30000</v>
      </c>
      <c r="H25" s="22"/>
      <c r="I25" s="11"/>
      <c r="J25" s="57"/>
      <c r="K25" s="75" t="s">
        <v>62</v>
      </c>
      <c r="L25" s="60" t="s">
        <v>63</v>
      </c>
      <c r="M25" s="62" t="s">
        <v>52</v>
      </c>
      <c r="N25" s="62"/>
      <c r="O25" s="60"/>
    </row>
    <row r="26" s="2" customFormat="1" ht="18" customHeight="1" spans="1:15">
      <c r="A26" s="33">
        <v>43891</v>
      </c>
      <c r="B26" s="37">
        <f t="shared" si="9"/>
        <v>99000</v>
      </c>
      <c r="C26" s="38"/>
      <c r="D26" s="39" t="s">
        <v>61</v>
      </c>
      <c r="E26" s="40"/>
      <c r="F26" s="37">
        <f t="shared" si="8"/>
        <v>0</v>
      </c>
      <c r="G26" s="26">
        <v>99000</v>
      </c>
      <c r="H26" s="22"/>
      <c r="I26" s="11"/>
      <c r="J26" s="57"/>
      <c r="K26" s="75" t="s">
        <v>64</v>
      </c>
      <c r="L26" s="60" t="s">
        <v>65</v>
      </c>
      <c r="M26" s="62" t="s">
        <v>52</v>
      </c>
      <c r="N26" s="62"/>
      <c r="O26" s="60"/>
    </row>
    <row r="27" s="2" customFormat="1" ht="18" customHeight="1" spans="1:15">
      <c r="A27" s="33">
        <v>43891</v>
      </c>
      <c r="B27" s="37">
        <f t="shared" si="9"/>
        <v>2855</v>
      </c>
      <c r="C27" s="38"/>
      <c r="D27" s="39" t="s">
        <v>61</v>
      </c>
      <c r="E27" s="40"/>
      <c r="F27" s="37">
        <f t="shared" si="8"/>
        <v>0</v>
      </c>
      <c r="G27" s="26">
        <v>2855</v>
      </c>
      <c r="H27" s="22"/>
      <c r="I27" s="11"/>
      <c r="J27" s="57"/>
      <c r="K27" s="75" t="s">
        <v>59</v>
      </c>
      <c r="L27" s="60" t="s">
        <v>65</v>
      </c>
      <c r="M27" s="62"/>
      <c r="N27" s="62"/>
      <c r="O27" s="60"/>
    </row>
    <row r="28" s="2" customFormat="1" ht="18" customHeight="1" spans="1:15">
      <c r="A28" s="33">
        <v>43891</v>
      </c>
      <c r="B28" s="37">
        <f t="shared" si="9"/>
        <v>6780</v>
      </c>
      <c r="C28" s="38"/>
      <c r="D28" s="39" t="s">
        <v>61</v>
      </c>
      <c r="E28" s="40"/>
      <c r="F28" s="37">
        <f t="shared" si="8"/>
        <v>0</v>
      </c>
      <c r="G28" s="26">
        <v>6780</v>
      </c>
      <c r="H28" s="22"/>
      <c r="I28" s="11"/>
      <c r="J28" s="57"/>
      <c r="K28" s="75" t="s">
        <v>59</v>
      </c>
      <c r="L28" s="60" t="s">
        <v>58</v>
      </c>
      <c r="M28" s="62"/>
      <c r="N28" s="62"/>
      <c r="O28" s="60"/>
    </row>
    <row r="29" s="2" customFormat="1" ht="18" customHeight="1" spans="1:15">
      <c r="A29" s="33"/>
      <c r="B29" s="37">
        <f t="shared" si="9"/>
        <v>0</v>
      </c>
      <c r="C29" s="38"/>
      <c r="D29" s="39"/>
      <c r="E29" s="40"/>
      <c r="F29" s="37">
        <f t="shared" si="8"/>
        <v>0</v>
      </c>
      <c r="G29" s="26"/>
      <c r="H29" s="22"/>
      <c r="I29" s="37">
        <v>309461</v>
      </c>
      <c r="J29" s="62"/>
      <c r="K29" s="75" t="s">
        <v>66</v>
      </c>
      <c r="L29" s="60"/>
      <c r="M29" s="62"/>
      <c r="N29" s="62"/>
      <c r="O29" s="60" t="s">
        <v>67</v>
      </c>
    </row>
    <row r="30" s="2" customFormat="1" ht="18" customHeight="1" spans="1:15">
      <c r="A30" s="33"/>
      <c r="B30" s="37"/>
      <c r="C30" s="38"/>
      <c r="D30" s="39"/>
      <c r="E30" s="40"/>
      <c r="F30" s="37"/>
      <c r="G30" s="26"/>
      <c r="H30" s="22"/>
      <c r="I30" s="37"/>
      <c r="J30" s="62"/>
      <c r="K30" s="75"/>
      <c r="L30" s="60"/>
      <c r="M30" s="62"/>
      <c r="N30" s="62"/>
      <c r="O30" s="60"/>
    </row>
    <row r="31" s="2" customFormat="1" ht="18" customHeight="1" spans="1:15">
      <c r="A31" s="33"/>
      <c r="B31" s="37"/>
      <c r="C31" s="38"/>
      <c r="D31" s="39"/>
      <c r="E31" s="40"/>
      <c r="F31" s="37"/>
      <c r="G31" s="26"/>
      <c r="H31" s="22"/>
      <c r="I31" s="37"/>
      <c r="J31" s="62"/>
      <c r="K31" s="75"/>
      <c r="L31" s="60"/>
      <c r="M31" s="62"/>
      <c r="N31" s="62"/>
      <c r="O31" s="60"/>
    </row>
    <row r="32" s="2" customFormat="1" ht="18" customHeight="1" spans="1:15">
      <c r="A32" s="33"/>
      <c r="B32" s="37"/>
      <c r="C32" s="38"/>
      <c r="D32" s="39"/>
      <c r="E32" s="40"/>
      <c r="F32" s="37"/>
      <c r="G32" s="26"/>
      <c r="H32" s="22"/>
      <c r="I32" s="37"/>
      <c r="J32" s="62"/>
      <c r="K32" s="75"/>
      <c r="L32" s="60"/>
      <c r="M32" s="62"/>
      <c r="N32" s="62"/>
      <c r="O32" s="60"/>
    </row>
    <row r="33" s="2" customFormat="1" ht="18" customHeight="1" spans="1:15">
      <c r="A33" s="33"/>
      <c r="B33" s="37"/>
      <c r="C33" s="38"/>
      <c r="D33" s="39"/>
      <c r="E33" s="40"/>
      <c r="F33" s="37"/>
      <c r="G33" s="26"/>
      <c r="H33" s="22"/>
      <c r="I33" s="37"/>
      <c r="J33" s="62"/>
      <c r="K33" s="75"/>
      <c r="L33" s="60"/>
      <c r="M33" s="62"/>
      <c r="N33" s="62"/>
      <c r="O33" s="60"/>
    </row>
    <row r="34" s="2" customFormat="1" ht="18" customHeight="1" spans="1:15">
      <c r="A34" s="33"/>
      <c r="B34" s="37"/>
      <c r="C34" s="38"/>
      <c r="D34" s="39"/>
      <c r="E34" s="40"/>
      <c r="F34" s="37"/>
      <c r="G34" s="26"/>
      <c r="H34" s="22"/>
      <c r="I34" s="37"/>
      <c r="J34" s="62"/>
      <c r="K34" s="75"/>
      <c r="L34" s="60"/>
      <c r="M34" s="62"/>
      <c r="N34" s="62"/>
      <c r="O34" s="60"/>
    </row>
    <row r="35" s="2" customFormat="1" ht="18" customHeight="1" spans="1:15">
      <c r="A35" s="33"/>
      <c r="B35" s="37"/>
      <c r="C35" s="38"/>
      <c r="D35" s="39"/>
      <c r="E35" s="40"/>
      <c r="F35" s="37"/>
      <c r="G35" s="26"/>
      <c r="H35" s="22" t="s">
        <v>68</v>
      </c>
      <c r="I35" s="37">
        <v>200</v>
      </c>
      <c r="J35" s="57" t="s">
        <v>69</v>
      </c>
      <c r="K35" s="75" t="s">
        <v>70</v>
      </c>
      <c r="L35" s="60"/>
      <c r="M35" s="62"/>
      <c r="N35" s="62"/>
      <c r="O35" s="60"/>
    </row>
    <row r="36" s="2" customFormat="1" ht="18" customHeight="1" spans="1:15">
      <c r="A36" s="33"/>
      <c r="B36" s="37"/>
      <c r="C36" s="38"/>
      <c r="D36" s="39"/>
      <c r="E36" s="40"/>
      <c r="F36" s="37"/>
      <c r="G36" s="26"/>
      <c r="H36" s="22" t="s">
        <v>68</v>
      </c>
      <c r="I36" s="11">
        <v>3554</v>
      </c>
      <c r="J36" s="57" t="s">
        <v>69</v>
      </c>
      <c r="K36" s="75" t="s">
        <v>71</v>
      </c>
      <c r="L36" s="60"/>
      <c r="M36" s="62"/>
      <c r="N36" s="62"/>
      <c r="O36" s="60"/>
    </row>
    <row r="37" s="2" customFormat="1" ht="18" customHeight="1" spans="1:15">
      <c r="A37" s="33"/>
      <c r="B37" s="37">
        <f>ROUND(G37/(1+E37),2)</f>
        <v>0</v>
      </c>
      <c r="C37" s="38"/>
      <c r="D37" s="39"/>
      <c r="E37" s="40"/>
      <c r="F37" s="37">
        <f>ROUND(G37/(1+E37)*E37,2)</f>
        <v>0</v>
      </c>
      <c r="G37" s="26"/>
      <c r="H37" s="22" t="s">
        <v>68</v>
      </c>
      <c r="I37" s="11">
        <v>303</v>
      </c>
      <c r="J37" s="57" t="s">
        <v>69</v>
      </c>
      <c r="K37" s="75" t="s">
        <v>72</v>
      </c>
      <c r="L37" s="60"/>
      <c r="M37" s="62"/>
      <c r="N37" s="62"/>
      <c r="O37" s="60"/>
    </row>
    <row r="38" s="2" customFormat="1" ht="23.4" customHeight="1" spans="1:15">
      <c r="A38" s="33"/>
      <c r="B38" s="37">
        <f>ROUND(G38/(1+E38),2)</f>
        <v>0</v>
      </c>
      <c r="C38" s="38"/>
      <c r="D38" s="39"/>
      <c r="E38" s="40"/>
      <c r="F38" s="37">
        <f>ROUND(G38/(1+E38)*E38,2)</f>
        <v>0</v>
      </c>
      <c r="G38" s="26"/>
      <c r="H38" s="22" t="s">
        <v>68</v>
      </c>
      <c r="I38" s="11">
        <v>2303</v>
      </c>
      <c r="J38" s="57" t="s">
        <v>69</v>
      </c>
      <c r="K38" s="75" t="s">
        <v>73</v>
      </c>
      <c r="L38" s="60"/>
      <c r="M38" s="62"/>
      <c r="N38" s="62"/>
      <c r="O38" s="60"/>
    </row>
    <row r="39" s="2" customFormat="1" ht="18" customHeight="1" spans="1:15">
      <c r="A39" s="33"/>
      <c r="B39" s="37">
        <f>ROUND(G39/(1+E39),2)</f>
        <v>39479</v>
      </c>
      <c r="C39" s="38"/>
      <c r="D39" s="39"/>
      <c r="E39" s="40"/>
      <c r="F39" s="37">
        <f>ROUND(G39/(1+E39)*E39,2)</f>
        <v>0</v>
      </c>
      <c r="G39" s="26">
        <v>39479</v>
      </c>
      <c r="H39" s="22" t="s">
        <v>68</v>
      </c>
      <c r="I39" s="11">
        <f>G39</f>
        <v>39479</v>
      </c>
      <c r="J39" s="57" t="s">
        <v>69</v>
      </c>
      <c r="K39" s="75" t="s">
        <v>74</v>
      </c>
      <c r="L39" s="60"/>
      <c r="M39" s="62"/>
      <c r="N39" s="62"/>
      <c r="O39" s="60"/>
    </row>
    <row r="40" ht="18" customHeight="1" spans="1:15">
      <c r="A40" s="29" t="s">
        <v>22</v>
      </c>
      <c r="B40" s="28">
        <f>SUM(B14:B39)</f>
        <v>365967.02</v>
      </c>
      <c r="C40" s="29"/>
      <c r="D40" s="41"/>
      <c r="E40" s="41"/>
      <c r="F40" s="30">
        <f>SUM(F14:F39)</f>
        <v>7087.03</v>
      </c>
      <c r="G40" s="71">
        <f>SUM(G14:G39)</f>
        <v>373054.05</v>
      </c>
      <c r="H40" s="43"/>
      <c r="I40" s="29">
        <f>SUM(I14:I39)</f>
        <v>355300</v>
      </c>
      <c r="J40" s="63"/>
      <c r="K40" s="82"/>
      <c r="L40" s="31"/>
      <c r="M40" s="57"/>
      <c r="N40" s="57"/>
      <c r="O40" s="31"/>
    </row>
    <row r="41" ht="18" customHeight="1" spans="1:14">
      <c r="A41" s="44" t="s">
        <v>75</v>
      </c>
      <c r="B41" s="44">
        <f>B11*0.99</f>
        <v>358572.950091743</v>
      </c>
      <c r="C41" s="44"/>
      <c r="D41" s="45"/>
      <c r="E41" s="45"/>
      <c r="F41" s="46">
        <f>F11-F40</f>
        <v>18266.6129357798</v>
      </c>
      <c r="G41" s="44">
        <f>G11-G40</f>
        <v>21738.39</v>
      </c>
      <c r="H41" s="21" t="s">
        <v>76</v>
      </c>
      <c r="I41" s="29">
        <f>I11-I40</f>
        <v>39485.44</v>
      </c>
      <c r="J41" s="1"/>
      <c r="K41" s="83"/>
      <c r="M41" s="65"/>
      <c r="N41" s="65"/>
    </row>
    <row r="42" ht="18" customHeight="1" spans="1:14">
      <c r="A42" s="44" t="s">
        <v>77</v>
      </c>
      <c r="B42" s="44">
        <f>B41-B40</f>
        <v>-7394.06990825693</v>
      </c>
      <c r="C42" s="44"/>
      <c r="D42" s="45"/>
      <c r="E42" s="45"/>
      <c r="F42" s="46"/>
      <c r="G42" s="46"/>
      <c r="H42" s="47"/>
      <c r="I42" s="46"/>
      <c r="J42" s="1"/>
      <c r="K42" s="83"/>
      <c r="M42" s="65"/>
      <c r="N42" s="65"/>
    </row>
    <row r="43" ht="18" customHeight="1" spans="1:3">
      <c r="A43" s="5" t="s">
        <v>78</v>
      </c>
      <c r="C43" s="5"/>
    </row>
    <row r="44" ht="18" customHeight="1" spans="1:12">
      <c r="A44" s="21" t="s">
        <v>79</v>
      </c>
      <c r="B44" s="20" t="s">
        <v>80</v>
      </c>
      <c r="C44" s="31"/>
      <c r="D44" s="21" t="s">
        <v>79</v>
      </c>
      <c r="E44" s="19" t="s">
        <v>16</v>
      </c>
      <c r="F44" s="20" t="s">
        <v>80</v>
      </c>
      <c r="H44" s="3" t="s">
        <v>81</v>
      </c>
      <c r="I44" s="4" t="s">
        <v>82</v>
      </c>
      <c r="K44" s="88" t="s">
        <v>83</v>
      </c>
      <c r="L44" s="88" t="s">
        <v>84</v>
      </c>
    </row>
    <row r="45" ht="18" customHeight="1" spans="1:12">
      <c r="A45" s="31" t="s">
        <v>85</v>
      </c>
      <c r="B45" s="17">
        <f>(B41-B40)*0.25</f>
        <v>-1848.51747706423</v>
      </c>
      <c r="C45" s="31"/>
      <c r="D45" s="27" t="s">
        <v>86</v>
      </c>
      <c r="E45" s="21" t="s">
        <v>87</v>
      </c>
      <c r="F45" s="30">
        <f>F11-F40</f>
        <v>18266.6129357798</v>
      </c>
      <c r="H45" s="3">
        <v>25739.2568807339</v>
      </c>
      <c r="K45" s="89">
        <f>D7</f>
        <v>6519.39449541284</v>
      </c>
      <c r="L45" s="30">
        <f>D8</f>
        <v>724.503486238532</v>
      </c>
    </row>
    <row r="46" ht="18" customHeight="1" spans="1:12">
      <c r="A46" s="31" t="s">
        <v>88</v>
      </c>
      <c r="B46" s="49"/>
      <c r="C46" s="31"/>
      <c r="D46" s="50" t="s">
        <v>89</v>
      </c>
      <c r="E46" s="13">
        <v>0.07</v>
      </c>
      <c r="F46" s="11">
        <f>F45*E46</f>
        <v>1278.66290550459</v>
      </c>
      <c r="H46" s="3">
        <f>H45*E46</f>
        <v>1801.74798165137</v>
      </c>
      <c r="K46" s="88">
        <f>K45*E46</f>
        <v>456.357614678899</v>
      </c>
      <c r="L46" s="11">
        <f>L45*E46</f>
        <v>50.7152440366972</v>
      </c>
    </row>
    <row r="47" ht="18" customHeight="1" spans="1:12">
      <c r="A47" s="31" t="s">
        <v>90</v>
      </c>
      <c r="B47" s="49"/>
      <c r="C47" s="31"/>
      <c r="D47" s="50" t="s">
        <v>91</v>
      </c>
      <c r="E47" s="13">
        <v>0.03</v>
      </c>
      <c r="F47" s="11">
        <f>F45*E47</f>
        <v>547.998388073395</v>
      </c>
      <c r="H47" s="3">
        <f>H45*E47</f>
        <v>772.177706422017</v>
      </c>
      <c r="K47" s="88">
        <f>K45*E47</f>
        <v>195.581834862385</v>
      </c>
      <c r="L47" s="11">
        <f>L45*E47</f>
        <v>21.735104587156</v>
      </c>
    </row>
    <row r="48" ht="18" customHeight="1" spans="1:12">
      <c r="A48" s="31"/>
      <c r="B48" s="12"/>
      <c r="C48" s="31"/>
      <c r="D48" s="50" t="s">
        <v>92</v>
      </c>
      <c r="E48" s="13">
        <v>0.02</v>
      </c>
      <c r="F48" s="11">
        <f>F45*E48</f>
        <v>365.332258715596</v>
      </c>
      <c r="H48" s="3">
        <f>H45*E48</f>
        <v>514.785137614678</v>
      </c>
      <c r="K48" s="88">
        <f>K45*E48</f>
        <v>130.387889908257</v>
      </c>
      <c r="L48" s="11">
        <f>L45*E48</f>
        <v>14.4900697247706</v>
      </c>
    </row>
    <row r="49" ht="25.05" customHeight="1" spans="1:12">
      <c r="A49" s="27" t="s">
        <v>93</v>
      </c>
      <c r="B49" s="51">
        <f>SUM(B45:B48)</f>
        <v>-1848.51747706423</v>
      </c>
      <c r="C49" s="31"/>
      <c r="D49" s="86" t="s">
        <v>93</v>
      </c>
      <c r="E49" s="27"/>
      <c r="F49" s="30">
        <f>SUM(F45:F48)</f>
        <v>20458.6064880734</v>
      </c>
      <c r="G49" s="87" t="s">
        <v>94</v>
      </c>
      <c r="H49" s="3">
        <f>SUM(H45:H48)</f>
        <v>28827.967706422</v>
      </c>
      <c r="I49" s="4">
        <f>F49-H49</f>
        <v>-8369.3612183486</v>
      </c>
      <c r="K49" s="89">
        <f>SUM(K45:K48)</f>
        <v>7301.72183486238</v>
      </c>
      <c r="L49" s="30">
        <f>SUM(L45:L48)</f>
        <v>811.443904587156</v>
      </c>
    </row>
    <row r="50" ht="18" customHeight="1" spans="3:12">
      <c r="C50" s="5"/>
      <c r="D50" s="11" t="s">
        <v>88</v>
      </c>
      <c r="E50" s="52">
        <v>0.0003</v>
      </c>
      <c r="F50" s="11">
        <f>G11*E50</f>
        <v>118.437732</v>
      </c>
      <c r="K50" s="88">
        <f>G7*0.0003</f>
        <v>106.5921</v>
      </c>
      <c r="L50" s="11">
        <f>G8*0.0003</f>
        <v>11.845632</v>
      </c>
    </row>
    <row r="51" ht="18" customHeight="1" spans="3:12">
      <c r="C51" s="5"/>
      <c r="D51" s="11" t="s">
        <v>90</v>
      </c>
      <c r="E51" s="52">
        <v>0.0006</v>
      </c>
      <c r="F51" s="11">
        <f>B7*E51</f>
        <v>195.581834862385</v>
      </c>
      <c r="K51" s="88">
        <f>B7*0.0006</f>
        <v>195.581834862385</v>
      </c>
      <c r="L51" s="11">
        <f>B8*0.0006</f>
        <v>21.735104587156</v>
      </c>
    </row>
    <row r="52" ht="18" customHeight="1" spans="3:12">
      <c r="C52" s="5"/>
      <c r="D52" s="19" t="s">
        <v>93</v>
      </c>
      <c r="E52" s="41"/>
      <c r="F52" s="29">
        <f>F51+F50</f>
        <v>314.019566862385</v>
      </c>
      <c r="K52" s="90">
        <f>SUM(K50:K51)</f>
        <v>302.173934862385</v>
      </c>
      <c r="L52" s="29">
        <f>SUM(L50:L51)</f>
        <v>33.580736587156</v>
      </c>
    </row>
    <row r="53" ht="18" customHeight="1" spans="3:12">
      <c r="C53" s="5"/>
      <c r="D53" s="19" t="s">
        <v>22</v>
      </c>
      <c r="E53" s="29"/>
      <c r="F53" s="29">
        <f>F49+F52</f>
        <v>20772.6260549358</v>
      </c>
      <c r="I53" s="91"/>
      <c r="K53" s="90">
        <f>K49+K52</f>
        <v>7603.89576972477</v>
      </c>
      <c r="L53" s="29">
        <f>L49+L52</f>
        <v>845.024641174312</v>
      </c>
    </row>
    <row r="54" ht="18" customHeight="1" spans="3:12">
      <c r="C54" s="5"/>
      <c r="D54" s="29" t="s">
        <v>85</v>
      </c>
      <c r="E54" s="41">
        <v>0.01</v>
      </c>
      <c r="F54" s="53">
        <f>G11*E54</f>
        <v>3947.9244</v>
      </c>
      <c r="I54" s="4">
        <f>303-302.17</f>
        <v>0.829999999999984</v>
      </c>
      <c r="K54" s="90">
        <f>G7*0.01</f>
        <v>3553.07</v>
      </c>
      <c r="L54" s="29">
        <f>G8*0.01</f>
        <v>394.8544</v>
      </c>
    </row>
    <row r="55" ht="18" customHeight="1" spans="3:6">
      <c r="C55" s="5"/>
      <c r="F55" s="4" t="s">
        <v>95</v>
      </c>
    </row>
    <row r="56" ht="18" customHeight="1" spans="3:3">
      <c r="C56" s="5"/>
    </row>
    <row r="57" ht="18" customHeight="1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</sheetData>
  <autoFilter ref="A13:O2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opLeftCell="A19" workbookViewId="0">
      <selection activeCell="L29" sqref="L29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1.4416666666667" style="67" customWidth="1"/>
    <col min="12" max="12" width="12.775" style="1" customWidth="1"/>
    <col min="13" max="13" width="6" style="1" customWidth="1"/>
    <col min="14" max="14" width="10.2166666666667" style="1" customWidth="1"/>
    <col min="15" max="15" width="14.8833333333333" style="5" customWidth="1"/>
    <col min="16" max="16384" width="9" style="5"/>
  </cols>
  <sheetData>
    <row r="1" s="1" customFormat="1" ht="21.9" customHeight="1" spans="1:12">
      <c r="A1" s="7" t="s">
        <v>96</v>
      </c>
      <c r="B1" s="7"/>
      <c r="C1" s="7"/>
      <c r="D1" s="7"/>
      <c r="E1" s="7"/>
      <c r="F1" s="8"/>
      <c r="G1" s="8"/>
      <c r="H1" s="7"/>
      <c r="I1" s="8"/>
      <c r="J1" s="7"/>
      <c r="K1" s="72"/>
      <c r="L1" s="18"/>
    </row>
    <row r="2" s="1" customFormat="1" ht="18" customHeight="1" spans="1:12">
      <c r="A2" s="9" t="s">
        <v>1</v>
      </c>
      <c r="B2" s="10">
        <v>43301</v>
      </c>
      <c r="C2" s="11" t="s">
        <v>2</v>
      </c>
      <c r="D2" s="12">
        <v>600000</v>
      </c>
      <c r="E2" s="13" t="s">
        <v>3</v>
      </c>
      <c r="F2" s="14" t="s">
        <v>4</v>
      </c>
      <c r="G2" s="15" t="s">
        <v>5</v>
      </c>
      <c r="H2" s="16" t="s">
        <v>97</v>
      </c>
      <c r="I2" s="54"/>
      <c r="J2" s="55"/>
      <c r="K2" s="72"/>
      <c r="L2" s="18"/>
    </row>
    <row r="3" s="1" customFormat="1" ht="18" customHeight="1" spans="1:12">
      <c r="A3" s="9" t="s">
        <v>7</v>
      </c>
      <c r="B3" s="17"/>
      <c r="C3" s="11" t="s">
        <v>8</v>
      </c>
      <c r="D3" s="11">
        <v>579903.89</v>
      </c>
      <c r="E3" s="3"/>
      <c r="F3" s="4"/>
      <c r="G3" s="4"/>
      <c r="H3" s="18"/>
      <c r="I3" s="56"/>
      <c r="J3" s="18"/>
      <c r="K3" s="72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56"/>
      <c r="J4" s="18"/>
      <c r="K4" s="72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6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67"/>
    </row>
    <row r="7" s="1" customFormat="1" ht="18" customHeight="1" spans="1:11">
      <c r="A7" s="22">
        <v>43817</v>
      </c>
      <c r="B7" s="11">
        <f t="shared" ref="B7:B10" si="0">G7/(1+C7+E7)</f>
        <v>478818.348623853</v>
      </c>
      <c r="C7" s="23"/>
      <c r="D7" s="24">
        <f t="shared" ref="D7:D10" si="1">G7/(1+E7+C7)*C7</f>
        <v>0</v>
      </c>
      <c r="E7" s="25">
        <v>0.09</v>
      </c>
      <c r="F7" s="11">
        <f t="shared" ref="F7:F10" si="2">G7/(1+C7+E7)*E7</f>
        <v>43093.6513761468</v>
      </c>
      <c r="G7" s="26">
        <v>521912</v>
      </c>
      <c r="H7" s="22">
        <v>43850</v>
      </c>
      <c r="I7" s="11">
        <v>521912</v>
      </c>
      <c r="J7" s="57" t="s">
        <v>98</v>
      </c>
      <c r="K7" s="67"/>
    </row>
    <row r="8" s="1" customFormat="1" ht="18" customHeight="1" spans="1:15">
      <c r="A8" s="22">
        <v>44216</v>
      </c>
      <c r="B8" s="11">
        <f t="shared" si="0"/>
        <v>53203.5688073394</v>
      </c>
      <c r="C8" s="25">
        <v>0.02</v>
      </c>
      <c r="D8" s="24">
        <f t="shared" si="1"/>
        <v>1064.07137614679</v>
      </c>
      <c r="E8" s="25">
        <v>0.07</v>
      </c>
      <c r="F8" s="11">
        <f t="shared" si="2"/>
        <v>3724.24981651376</v>
      </c>
      <c r="G8" s="26">
        <v>57991.89</v>
      </c>
      <c r="H8" s="22">
        <v>44232</v>
      </c>
      <c r="I8" s="11">
        <v>57991.89</v>
      </c>
      <c r="J8" s="57" t="s">
        <v>21</v>
      </c>
      <c r="K8" s="67"/>
      <c r="O8" s="1">
        <f>F7/0.13</f>
        <v>331489.62597036</v>
      </c>
    </row>
    <row r="9" s="1" customFormat="1" ht="18" customHeight="1" spans="1:15">
      <c r="A9" s="22"/>
      <c r="B9" s="11">
        <f t="shared" si="0"/>
        <v>0</v>
      </c>
      <c r="C9" s="23"/>
      <c r="D9" s="24">
        <f t="shared" si="1"/>
        <v>0</v>
      </c>
      <c r="E9" s="23">
        <v>0.08</v>
      </c>
      <c r="F9" s="11">
        <f t="shared" si="2"/>
        <v>0</v>
      </c>
      <c r="G9" s="26"/>
      <c r="H9" s="22"/>
      <c r="I9" s="11"/>
      <c r="J9" s="57"/>
      <c r="K9" s="67"/>
      <c r="O9" s="1">
        <f>O8*1.13</f>
        <v>374583.277346507</v>
      </c>
    </row>
    <row r="10" s="1" customFormat="1" ht="18" customHeight="1" spans="1:11">
      <c r="A10" s="22"/>
      <c r="B10" s="11">
        <f t="shared" si="0"/>
        <v>0</v>
      </c>
      <c r="C10" s="23"/>
      <c r="D10" s="24">
        <f t="shared" si="1"/>
        <v>0</v>
      </c>
      <c r="E10" s="23">
        <v>0.08</v>
      </c>
      <c r="F10" s="11">
        <f t="shared" si="2"/>
        <v>0</v>
      </c>
      <c r="G10" s="26"/>
      <c r="H10" s="22"/>
      <c r="I10" s="11"/>
      <c r="J10" s="57"/>
      <c r="K10" s="67"/>
    </row>
    <row r="11" s="1" customFormat="1" ht="18" customHeight="1" spans="1:11">
      <c r="A11" s="27" t="s">
        <v>22</v>
      </c>
      <c r="B11" s="28">
        <f t="shared" ref="B11:G11" si="3">SUM(B7:B10)</f>
        <v>532021.917431193</v>
      </c>
      <c r="C11" s="29"/>
      <c r="D11" s="29">
        <f t="shared" si="3"/>
        <v>1064.07137614679</v>
      </c>
      <c r="E11" s="29"/>
      <c r="F11" s="30">
        <f t="shared" si="3"/>
        <v>46817.9011926605</v>
      </c>
      <c r="G11" s="29">
        <f t="shared" si="3"/>
        <v>579903.89</v>
      </c>
      <c r="H11" s="31"/>
      <c r="I11" s="29">
        <f>SUM(I7:I10)</f>
        <v>579903.89</v>
      </c>
      <c r="J11" s="31"/>
      <c r="K11" s="67"/>
    </row>
    <row r="12" s="1" customFormat="1" ht="18" customHeight="1" spans="1:12">
      <c r="A12" s="5" t="s">
        <v>23</v>
      </c>
      <c r="B12" s="4"/>
      <c r="C12" s="3"/>
      <c r="D12" s="3"/>
      <c r="E12" s="3"/>
      <c r="F12" s="4"/>
      <c r="G12" s="4"/>
      <c r="H12" s="3"/>
      <c r="I12" s="4"/>
      <c r="J12" s="3"/>
      <c r="K12" s="73"/>
      <c r="L12" s="6"/>
    </row>
    <row r="13" s="1" customFormat="1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74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8">
      <c r="A14" s="68">
        <v>43800</v>
      </c>
      <c r="B14" s="11">
        <f t="shared" ref="B14:B23" si="4">ROUND(G14/(1+E14),2)</f>
        <v>5718.87</v>
      </c>
      <c r="C14" s="34"/>
      <c r="D14" s="35" t="s">
        <v>36</v>
      </c>
      <c r="E14" s="36">
        <v>0.06</v>
      </c>
      <c r="F14" s="11">
        <f t="shared" ref="F14:F23" si="5">ROUND(G14/(1+E14)*E14,2)</f>
        <v>343.13</v>
      </c>
      <c r="G14" s="69">
        <v>6062</v>
      </c>
      <c r="H14" s="22"/>
      <c r="I14" s="11"/>
      <c r="J14" s="57"/>
      <c r="K14" s="75" t="s">
        <v>99</v>
      </c>
      <c r="L14" s="60" t="s">
        <v>100</v>
      </c>
      <c r="M14" s="62"/>
      <c r="N14" s="62" t="s">
        <v>101</v>
      </c>
      <c r="O14" s="60"/>
      <c r="R14" s="66" t="s">
        <v>102</v>
      </c>
    </row>
    <row r="15" s="2" customFormat="1" ht="18" customHeight="1" spans="1:15">
      <c r="A15" s="68">
        <v>43800</v>
      </c>
      <c r="B15" s="11">
        <f t="shared" si="4"/>
        <v>2000</v>
      </c>
      <c r="C15" s="34"/>
      <c r="D15" s="35" t="s">
        <v>45</v>
      </c>
      <c r="E15" s="70"/>
      <c r="F15" s="11">
        <f t="shared" si="5"/>
        <v>0</v>
      </c>
      <c r="G15" s="69">
        <v>2000</v>
      </c>
      <c r="H15" s="22"/>
      <c r="I15" s="11"/>
      <c r="J15" s="57"/>
      <c r="K15" s="75" t="s">
        <v>103</v>
      </c>
      <c r="L15" s="60" t="s">
        <v>104</v>
      </c>
      <c r="M15" s="62"/>
      <c r="N15" s="62" t="s">
        <v>101</v>
      </c>
      <c r="O15" s="60"/>
    </row>
    <row r="16" s="2" customFormat="1" ht="18" customHeight="1" spans="1:15">
      <c r="A16" s="68">
        <v>43800</v>
      </c>
      <c r="B16" s="11">
        <f t="shared" si="4"/>
        <v>4139.34</v>
      </c>
      <c r="C16" s="34"/>
      <c r="D16" s="35" t="s">
        <v>45</v>
      </c>
      <c r="E16" s="70"/>
      <c r="F16" s="11">
        <f t="shared" si="5"/>
        <v>0</v>
      </c>
      <c r="G16" s="69">
        <v>4139.34</v>
      </c>
      <c r="H16" s="22"/>
      <c r="I16" s="11"/>
      <c r="J16" s="57"/>
      <c r="K16" s="75" t="s">
        <v>48</v>
      </c>
      <c r="L16" s="60"/>
      <c r="M16" s="62"/>
      <c r="N16" s="62"/>
      <c r="O16" s="60"/>
    </row>
    <row r="17" s="2" customFormat="1" ht="18" customHeight="1" spans="1:15">
      <c r="A17" s="68">
        <v>43800</v>
      </c>
      <c r="B17" s="11">
        <f t="shared" si="4"/>
        <v>313486.73</v>
      </c>
      <c r="C17" s="34"/>
      <c r="D17" s="35" t="s">
        <v>36</v>
      </c>
      <c r="E17" s="36">
        <v>0.13</v>
      </c>
      <c r="F17" s="11">
        <f t="shared" si="5"/>
        <v>40753.27</v>
      </c>
      <c r="G17" s="69">
        <v>354240</v>
      </c>
      <c r="H17" s="22"/>
      <c r="I17" s="11"/>
      <c r="J17" s="57"/>
      <c r="K17" s="75" t="s">
        <v>105</v>
      </c>
      <c r="L17" s="60" t="s">
        <v>106</v>
      </c>
      <c r="M17" s="61" t="s">
        <v>107</v>
      </c>
      <c r="N17" s="62"/>
      <c r="O17" s="60" t="s">
        <v>108</v>
      </c>
    </row>
    <row r="18" s="2" customFormat="1" ht="18" customHeight="1" spans="1:15">
      <c r="A18" s="33">
        <v>43891</v>
      </c>
      <c r="B18" s="37">
        <f t="shared" si="4"/>
        <v>1869</v>
      </c>
      <c r="C18" s="38"/>
      <c r="D18" s="39" t="s">
        <v>109</v>
      </c>
      <c r="E18" s="40"/>
      <c r="F18" s="37">
        <f t="shared" si="5"/>
        <v>0</v>
      </c>
      <c r="G18" s="26">
        <v>1869</v>
      </c>
      <c r="H18" s="22"/>
      <c r="I18" s="11"/>
      <c r="J18" s="57"/>
      <c r="K18" s="75" t="s">
        <v>110</v>
      </c>
      <c r="L18" s="60"/>
      <c r="M18" s="62"/>
      <c r="N18" s="62"/>
      <c r="O18" s="60"/>
    </row>
    <row r="19" s="2" customFormat="1" ht="18" customHeight="1" spans="1:15">
      <c r="A19" s="33">
        <v>43891</v>
      </c>
      <c r="B19" s="37">
        <f t="shared" si="4"/>
        <v>55000</v>
      </c>
      <c r="C19" s="38"/>
      <c r="D19" s="39" t="s">
        <v>61</v>
      </c>
      <c r="E19" s="40"/>
      <c r="F19" s="37">
        <f t="shared" si="5"/>
        <v>0</v>
      </c>
      <c r="G19" s="26">
        <v>55000</v>
      </c>
      <c r="H19" s="22"/>
      <c r="I19" s="11"/>
      <c r="J19" s="57"/>
      <c r="K19" s="75" t="s">
        <v>62</v>
      </c>
      <c r="L19" s="60" t="s">
        <v>111</v>
      </c>
      <c r="M19" s="62" t="s">
        <v>52</v>
      </c>
      <c r="N19" s="62" t="s">
        <v>101</v>
      </c>
      <c r="O19" s="60"/>
    </row>
    <row r="20" s="2" customFormat="1" ht="18" customHeight="1" spans="1:15">
      <c r="A20" s="33">
        <v>43891</v>
      </c>
      <c r="B20" s="37">
        <f t="shared" si="4"/>
        <v>6135</v>
      </c>
      <c r="C20" s="38"/>
      <c r="D20" s="39" t="s">
        <v>61</v>
      </c>
      <c r="E20" s="40"/>
      <c r="F20" s="37">
        <f t="shared" si="5"/>
        <v>0</v>
      </c>
      <c r="G20" s="26">
        <v>6135</v>
      </c>
      <c r="H20" s="22"/>
      <c r="I20" s="11"/>
      <c r="J20" s="57"/>
      <c r="K20" s="75" t="s">
        <v>112</v>
      </c>
      <c r="L20" s="60" t="s">
        <v>58</v>
      </c>
      <c r="M20" s="62"/>
      <c r="N20" s="62"/>
      <c r="O20" s="60"/>
    </row>
    <row r="21" s="2" customFormat="1" ht="18" customHeight="1" spans="1:15">
      <c r="A21" s="33">
        <v>43891</v>
      </c>
      <c r="B21" s="37">
        <f t="shared" si="4"/>
        <v>53545</v>
      </c>
      <c r="C21" s="38"/>
      <c r="D21" s="39" t="s">
        <v>61</v>
      </c>
      <c r="E21" s="40"/>
      <c r="F21" s="37">
        <f t="shared" si="5"/>
        <v>0</v>
      </c>
      <c r="G21" s="26">
        <v>53545</v>
      </c>
      <c r="H21" s="22"/>
      <c r="I21" s="11"/>
      <c r="J21" s="57"/>
      <c r="K21" s="75" t="s">
        <v>112</v>
      </c>
      <c r="L21" s="60" t="s">
        <v>65</v>
      </c>
      <c r="M21" s="62" t="s">
        <v>52</v>
      </c>
      <c r="N21" s="62"/>
      <c r="O21" s="60" t="s">
        <v>108</v>
      </c>
    </row>
    <row r="22" s="2" customFormat="1" ht="18" customHeight="1" spans="1:15">
      <c r="A22" s="33"/>
      <c r="B22" s="37">
        <f t="shared" si="4"/>
        <v>0</v>
      </c>
      <c r="C22" s="38"/>
      <c r="D22" s="39"/>
      <c r="E22" s="40"/>
      <c r="F22" s="37">
        <f t="shared" si="5"/>
        <v>0</v>
      </c>
      <c r="G22" s="26"/>
      <c r="H22" s="22">
        <v>43910</v>
      </c>
      <c r="I22" s="11">
        <v>407785</v>
      </c>
      <c r="J22" s="57"/>
      <c r="K22" s="75" t="s">
        <v>113</v>
      </c>
      <c r="L22" s="60"/>
      <c r="M22" s="62"/>
      <c r="N22" s="62"/>
      <c r="O22" s="60"/>
    </row>
    <row r="23" s="2" customFormat="1" ht="18" customHeight="1" spans="1:15">
      <c r="A23" s="33"/>
      <c r="B23" s="37">
        <f t="shared" si="4"/>
        <v>0</v>
      </c>
      <c r="C23" s="38"/>
      <c r="D23" s="39"/>
      <c r="E23" s="40"/>
      <c r="F23" s="37">
        <f t="shared" si="5"/>
        <v>0</v>
      </c>
      <c r="G23" s="26"/>
      <c r="H23" s="22"/>
      <c r="I23" s="11">
        <v>21277</v>
      </c>
      <c r="J23" s="57"/>
      <c r="K23" s="76" t="s">
        <v>66</v>
      </c>
      <c r="L23" s="31"/>
      <c r="M23" s="57"/>
      <c r="N23" s="57"/>
      <c r="O23" s="31" t="s">
        <v>67</v>
      </c>
    </row>
    <row r="24" s="2" customFormat="1" ht="18" customHeight="1" spans="1:15">
      <c r="A24" s="33"/>
      <c r="B24" s="37"/>
      <c r="C24" s="38"/>
      <c r="D24" s="39"/>
      <c r="E24" s="40"/>
      <c r="F24" s="37"/>
      <c r="G24" s="26"/>
      <c r="H24" s="22">
        <v>44236</v>
      </c>
      <c r="I24" s="11">
        <v>49712.81</v>
      </c>
      <c r="J24" s="57"/>
      <c r="K24" s="76" t="s">
        <v>112</v>
      </c>
      <c r="L24" s="60" t="s">
        <v>65</v>
      </c>
      <c r="M24" s="62"/>
      <c r="N24" s="62"/>
      <c r="O24" s="77"/>
    </row>
    <row r="25" s="2" customFormat="1" ht="18" customHeight="1" spans="1:15">
      <c r="A25" s="33"/>
      <c r="B25" s="37"/>
      <c r="C25" s="38"/>
      <c r="D25" s="39"/>
      <c r="E25" s="40"/>
      <c r="F25" s="37"/>
      <c r="G25" s="26"/>
      <c r="H25" s="22"/>
      <c r="I25" s="78"/>
      <c r="J25" s="79"/>
      <c r="K25" s="80"/>
      <c r="L25" s="60"/>
      <c r="M25" s="62"/>
      <c r="N25" s="62"/>
      <c r="O25" s="77"/>
    </row>
    <row r="26" s="2" customFormat="1" ht="18" customHeight="1" spans="1:15">
      <c r="A26" s="33"/>
      <c r="B26" s="37"/>
      <c r="C26" s="38"/>
      <c r="D26" s="39"/>
      <c r="E26" s="40"/>
      <c r="F26" s="37"/>
      <c r="G26" s="26"/>
      <c r="H26" s="22"/>
      <c r="I26" s="78"/>
      <c r="J26" s="79"/>
      <c r="K26" s="80"/>
      <c r="L26" s="60"/>
      <c r="M26" s="62"/>
      <c r="N26" s="62"/>
      <c r="O26" s="77"/>
    </row>
    <row r="27" s="2" customFormat="1" ht="18" customHeight="1" spans="1:15">
      <c r="A27" s="33"/>
      <c r="B27" s="37">
        <f t="shared" ref="B27:B33" si="6">ROUND(G27/(1+E27),2)</f>
        <v>0</v>
      </c>
      <c r="C27" s="38"/>
      <c r="D27" s="39"/>
      <c r="E27" s="40"/>
      <c r="F27" s="37">
        <f t="shared" ref="F27:F33" si="7">ROUND(G27/(1+E27)*E27,2)</f>
        <v>0</v>
      </c>
      <c r="G27" s="26"/>
      <c r="H27" s="22"/>
      <c r="I27" s="11"/>
      <c r="J27" s="57"/>
      <c r="K27" s="75"/>
      <c r="L27" s="60"/>
      <c r="M27" s="62"/>
      <c r="N27" s="62"/>
      <c r="O27" s="60"/>
    </row>
    <row r="28" s="2" customFormat="1" ht="18" customHeight="1" spans="1:15">
      <c r="A28" s="33"/>
      <c r="B28" s="37"/>
      <c r="C28" s="38"/>
      <c r="D28" s="39"/>
      <c r="E28" s="40"/>
      <c r="F28" s="37"/>
      <c r="G28" s="26"/>
      <c r="H28" s="22" t="s">
        <v>114</v>
      </c>
      <c r="I28" s="11">
        <v>50</v>
      </c>
      <c r="J28" s="62" t="s">
        <v>69</v>
      </c>
      <c r="K28" s="75" t="s">
        <v>115</v>
      </c>
      <c r="L28" s="60"/>
      <c r="M28" s="62"/>
      <c r="N28" s="62"/>
      <c r="O28" s="60"/>
    </row>
    <row r="29" s="2" customFormat="1" ht="18" customHeight="1" spans="1:15">
      <c r="A29" s="33"/>
      <c r="B29" s="37"/>
      <c r="C29" s="38"/>
      <c r="D29" s="39"/>
      <c r="E29" s="40"/>
      <c r="F29" s="37"/>
      <c r="G29" s="26"/>
      <c r="H29" s="22" t="s">
        <v>114</v>
      </c>
      <c r="I29" s="11">
        <v>6408.08</v>
      </c>
      <c r="J29" s="62" t="s">
        <v>69</v>
      </c>
      <c r="K29" s="81" t="s">
        <v>116</v>
      </c>
      <c r="L29" s="60"/>
      <c r="M29" s="62"/>
      <c r="N29" s="62"/>
      <c r="O29" s="60"/>
    </row>
    <row r="30" s="2" customFormat="1" ht="18" customHeight="1" spans="1:15">
      <c r="A30" s="33"/>
      <c r="B30" s="37"/>
      <c r="C30" s="38"/>
      <c r="D30" s="39"/>
      <c r="E30" s="40"/>
      <c r="F30" s="37"/>
      <c r="G30" s="26"/>
      <c r="H30" s="22" t="s">
        <v>114</v>
      </c>
      <c r="I30" s="11">
        <v>579.92</v>
      </c>
      <c r="J30" s="62" t="s">
        <v>69</v>
      </c>
      <c r="K30" s="75" t="s">
        <v>71</v>
      </c>
      <c r="L30" s="60"/>
      <c r="M30" s="62"/>
      <c r="N30" s="62"/>
      <c r="O30" s="60"/>
    </row>
    <row r="31" s="2" customFormat="1" ht="18" customHeight="1" spans="1:15">
      <c r="A31" s="33"/>
      <c r="B31" s="37">
        <f t="shared" ref="B31:B36" si="8">ROUND(G31/(1+E31),2)</f>
        <v>0</v>
      </c>
      <c r="C31" s="38"/>
      <c r="D31" s="39"/>
      <c r="E31" s="40"/>
      <c r="F31" s="37">
        <f t="shared" ref="F31:F36" si="9">ROUND(G31/(1+E31)*E31,2)</f>
        <v>0</v>
      </c>
      <c r="G31" s="26"/>
      <c r="H31" s="22" t="s">
        <v>114</v>
      </c>
      <c r="I31" s="11">
        <v>49.32</v>
      </c>
      <c r="J31" s="57" t="s">
        <v>69</v>
      </c>
      <c r="K31" s="76" t="s">
        <v>72</v>
      </c>
      <c r="L31" s="60"/>
      <c r="M31" s="62"/>
      <c r="N31" s="62"/>
      <c r="O31" s="60"/>
    </row>
    <row r="32" s="2" customFormat="1" ht="18" customHeight="1" spans="1:15">
      <c r="A32" s="33"/>
      <c r="B32" s="37">
        <f t="shared" si="8"/>
        <v>0</v>
      </c>
      <c r="C32" s="38"/>
      <c r="D32" s="39"/>
      <c r="E32" s="40"/>
      <c r="F32" s="37">
        <f t="shared" si="9"/>
        <v>0</v>
      </c>
      <c r="G32" s="26"/>
      <c r="H32" s="22" t="s">
        <v>114</v>
      </c>
      <c r="I32" s="11">
        <v>1191.76</v>
      </c>
      <c r="J32" s="57" t="s">
        <v>69</v>
      </c>
      <c r="K32" s="76" t="s">
        <v>117</v>
      </c>
      <c r="L32" s="60"/>
      <c r="M32" s="62"/>
      <c r="N32" s="62"/>
      <c r="O32" s="77"/>
    </row>
    <row r="33" s="2" customFormat="1" ht="18" customHeight="1" spans="1:15">
      <c r="A33" s="33"/>
      <c r="B33" s="37">
        <f t="shared" si="8"/>
        <v>0</v>
      </c>
      <c r="C33" s="38"/>
      <c r="D33" s="39"/>
      <c r="E33" s="40"/>
      <c r="F33" s="37">
        <f t="shared" si="9"/>
        <v>0</v>
      </c>
      <c r="G33" s="26"/>
      <c r="H33" s="22" t="s">
        <v>68</v>
      </c>
      <c r="I33" s="37">
        <v>200</v>
      </c>
      <c r="J33" s="62" t="s">
        <v>69</v>
      </c>
      <c r="K33" s="75" t="s">
        <v>70</v>
      </c>
      <c r="L33" s="60"/>
      <c r="M33" s="62"/>
      <c r="N33" s="62"/>
      <c r="O33" s="60"/>
    </row>
    <row r="34" s="2" customFormat="1" ht="18" customHeight="1" spans="1:15">
      <c r="A34" s="33"/>
      <c r="B34" s="37">
        <f t="shared" si="8"/>
        <v>0</v>
      </c>
      <c r="C34" s="38"/>
      <c r="D34" s="39"/>
      <c r="E34" s="40"/>
      <c r="F34" s="37">
        <f t="shared" si="9"/>
        <v>0</v>
      </c>
      <c r="G34" s="26"/>
      <c r="H34" s="22" t="s">
        <v>68</v>
      </c>
      <c r="I34" s="37">
        <v>5220</v>
      </c>
      <c r="J34" s="62" t="s">
        <v>69</v>
      </c>
      <c r="K34" s="75" t="s">
        <v>71</v>
      </c>
      <c r="L34" s="60"/>
      <c r="M34" s="62"/>
      <c r="N34" s="62"/>
      <c r="O34" s="60"/>
    </row>
    <row r="35" s="2" customFormat="1" ht="18" customHeight="1" spans="1:15">
      <c r="A35" s="33"/>
      <c r="B35" s="37">
        <f t="shared" si="8"/>
        <v>0</v>
      </c>
      <c r="C35" s="38"/>
      <c r="D35" s="39"/>
      <c r="E35" s="40"/>
      <c r="F35" s="37">
        <f t="shared" si="9"/>
        <v>0</v>
      </c>
      <c r="G35" s="26"/>
      <c r="H35" s="22" t="s">
        <v>68</v>
      </c>
      <c r="I35" s="37">
        <v>444</v>
      </c>
      <c r="J35" s="62" t="s">
        <v>69</v>
      </c>
      <c r="K35" s="75" t="s">
        <v>72</v>
      </c>
      <c r="L35" s="60"/>
      <c r="M35" s="62"/>
      <c r="N35" s="62"/>
      <c r="O35" s="60"/>
    </row>
    <row r="36" s="2" customFormat="1" ht="18" customHeight="1" spans="1:15">
      <c r="A36" s="33"/>
      <c r="B36" s="37">
        <f t="shared" si="8"/>
        <v>86986</v>
      </c>
      <c r="C36" s="38"/>
      <c r="D36" s="39"/>
      <c r="E36" s="40"/>
      <c r="F36" s="37">
        <f t="shared" si="9"/>
        <v>0</v>
      </c>
      <c r="G36" s="26">
        <f>86986</f>
        <v>86986</v>
      </c>
      <c r="H36" s="22" t="s">
        <v>68</v>
      </c>
      <c r="I36" s="37">
        <f>G36</f>
        <v>86986</v>
      </c>
      <c r="J36" s="62" t="s">
        <v>69</v>
      </c>
      <c r="K36" s="75" t="s">
        <v>74</v>
      </c>
      <c r="L36" s="60"/>
      <c r="M36" s="62"/>
      <c r="N36" s="62"/>
      <c r="O36" s="60"/>
    </row>
    <row r="37" s="1" customFormat="1" ht="18" customHeight="1" spans="1:15">
      <c r="A37" s="29" t="s">
        <v>22</v>
      </c>
      <c r="B37" s="28">
        <f>SUM(B14:B36)</f>
        <v>528879.94</v>
      </c>
      <c r="C37" s="29"/>
      <c r="D37" s="41"/>
      <c r="E37" s="41"/>
      <c r="F37" s="30">
        <f>SUM(F14:F36)</f>
        <v>41096.4</v>
      </c>
      <c r="G37" s="71">
        <f>SUM(G14:G36)</f>
        <v>569976.34</v>
      </c>
      <c r="H37" s="43"/>
      <c r="I37" s="29">
        <f>SUM(I14:I36)</f>
        <v>579903.89</v>
      </c>
      <c r="J37" s="63"/>
      <c r="K37" s="82"/>
      <c r="L37" s="31"/>
      <c r="M37" s="57"/>
      <c r="N37" s="57"/>
      <c r="O37" s="31"/>
    </row>
    <row r="38" s="1" customFormat="1" ht="18" customHeight="1" spans="1:14">
      <c r="A38" s="44" t="s">
        <v>75</v>
      </c>
      <c r="B38" s="44">
        <f>B11*0.99</f>
        <v>526701.698256881</v>
      </c>
      <c r="C38" s="44"/>
      <c r="D38" s="45"/>
      <c r="E38" s="45"/>
      <c r="F38" s="46">
        <f>F11-F37</f>
        <v>5721.50119266051</v>
      </c>
      <c r="G38" s="44">
        <f>G11-G37</f>
        <v>9927.54999999993</v>
      </c>
      <c r="H38" s="21" t="s">
        <v>76</v>
      </c>
      <c r="I38" s="29">
        <f>I11-I37</f>
        <v>0</v>
      </c>
      <c r="K38" s="83"/>
      <c r="M38" s="65"/>
      <c r="N38" s="65"/>
    </row>
    <row r="39" s="1" customFormat="1" ht="18" customHeight="1" spans="1:14">
      <c r="A39" s="44" t="s">
        <v>77</v>
      </c>
      <c r="B39" s="46">
        <f>B38-B37</f>
        <v>-2178.24174311897</v>
      </c>
      <c r="C39" s="44"/>
      <c r="D39" s="45"/>
      <c r="E39" s="45"/>
      <c r="F39" s="46"/>
      <c r="G39" s="46"/>
      <c r="H39" s="47"/>
      <c r="I39" s="46"/>
      <c r="K39" s="83"/>
      <c r="M39" s="65"/>
      <c r="N39" s="65"/>
    </row>
    <row r="40" s="3" customFormat="1" ht="18" customHeight="1" spans="1:14">
      <c r="A40" s="5" t="s">
        <v>78</v>
      </c>
      <c r="B40" s="4"/>
      <c r="C40" s="5"/>
      <c r="F40" s="4"/>
      <c r="G40" s="4"/>
      <c r="I40" s="4"/>
      <c r="J40" s="6"/>
      <c r="K40" s="67"/>
      <c r="L40" s="1"/>
      <c r="M40" s="1"/>
      <c r="N40" s="1"/>
    </row>
    <row r="41" s="4" customFormat="1" ht="18" customHeight="1" spans="1:14">
      <c r="A41" s="21" t="s">
        <v>79</v>
      </c>
      <c r="B41" s="20" t="s">
        <v>80</v>
      </c>
      <c r="C41" s="31"/>
      <c r="D41" s="21" t="s">
        <v>79</v>
      </c>
      <c r="E41" s="19" t="s">
        <v>16</v>
      </c>
      <c r="F41" s="20" t="s">
        <v>80</v>
      </c>
      <c r="G41" s="12" t="s">
        <v>117</v>
      </c>
      <c r="H41" s="11" t="s">
        <v>118</v>
      </c>
      <c r="J41" s="6"/>
      <c r="K41" s="67"/>
      <c r="L41" s="1"/>
      <c r="M41" s="1"/>
      <c r="N41" s="1"/>
    </row>
    <row r="42" s="4" customFormat="1" ht="18" customHeight="1" spans="1:14">
      <c r="A42" s="31" t="s">
        <v>85</v>
      </c>
      <c r="B42" s="17">
        <f>(B38-B37)*0.25</f>
        <v>-544.560435779742</v>
      </c>
      <c r="C42" s="31"/>
      <c r="D42" s="27" t="s">
        <v>86</v>
      </c>
      <c r="E42" s="21" t="s">
        <v>87</v>
      </c>
      <c r="F42" s="48">
        <f>F11-F37</f>
        <v>5721.50119266051</v>
      </c>
      <c r="G42" s="48">
        <f>D8</f>
        <v>1064.07137614679</v>
      </c>
      <c r="H42" s="30">
        <f>F11-F37</f>
        <v>5721.50119266051</v>
      </c>
      <c r="J42" s="6"/>
      <c r="K42" s="67"/>
      <c r="L42" s="1"/>
      <c r="M42" s="1"/>
      <c r="N42" s="1"/>
    </row>
    <row r="43" s="4" customFormat="1" ht="18" customHeight="1" spans="1:14">
      <c r="A43" s="31" t="s">
        <v>88</v>
      </c>
      <c r="B43" s="49"/>
      <c r="C43" s="31"/>
      <c r="D43" s="50" t="s">
        <v>89</v>
      </c>
      <c r="E43" s="13">
        <v>0.07</v>
      </c>
      <c r="F43" s="12">
        <f>F42*E43</f>
        <v>400.505083486236</v>
      </c>
      <c r="G43" s="12">
        <f>G42*E43</f>
        <v>74.4849963302752</v>
      </c>
      <c r="H43" s="11">
        <f>H42*E43</f>
        <v>400.505083486236</v>
      </c>
      <c r="J43" s="6"/>
      <c r="K43" s="67"/>
      <c r="L43" s="1"/>
      <c r="M43" s="1"/>
      <c r="N43" s="1"/>
    </row>
    <row r="44" s="4" customFormat="1" ht="18" customHeight="1" spans="1:14">
      <c r="A44" s="31" t="s">
        <v>90</v>
      </c>
      <c r="B44" s="49"/>
      <c r="C44" s="31"/>
      <c r="D44" s="50" t="s">
        <v>91</v>
      </c>
      <c r="E44" s="13">
        <v>0.03</v>
      </c>
      <c r="F44" s="12">
        <f>F42*E44</f>
        <v>171.645035779815</v>
      </c>
      <c r="G44" s="12">
        <f>G42*E44</f>
        <v>31.9221412844037</v>
      </c>
      <c r="H44" s="11">
        <f>H42*E44</f>
        <v>171.645035779815</v>
      </c>
      <c r="J44" s="6"/>
      <c r="K44" s="67"/>
      <c r="L44" s="1"/>
      <c r="M44" s="1"/>
      <c r="N44" s="1"/>
    </row>
    <row r="45" s="4" customFormat="1" ht="18" customHeight="1" spans="1:14">
      <c r="A45" s="31"/>
      <c r="B45" s="12"/>
      <c r="C45" s="31"/>
      <c r="D45" s="50" t="s">
        <v>92</v>
      </c>
      <c r="E45" s="13">
        <v>0.02</v>
      </c>
      <c r="F45" s="12">
        <f>F42*E45</f>
        <v>114.43002385321</v>
      </c>
      <c r="G45" s="12">
        <f>G42*E45</f>
        <v>21.2814275229358</v>
      </c>
      <c r="H45" s="11">
        <f>H42*E45</f>
        <v>114.43002385321</v>
      </c>
      <c r="J45" s="6"/>
      <c r="K45" s="67"/>
      <c r="L45" s="1"/>
      <c r="M45" s="1"/>
      <c r="N45" s="1"/>
    </row>
    <row r="46" s="4" customFormat="1" ht="18" customHeight="1" spans="1:14">
      <c r="A46" s="27" t="s">
        <v>93</v>
      </c>
      <c r="B46" s="51">
        <f>SUM(B42:B45)</f>
        <v>-544.560435779742</v>
      </c>
      <c r="C46" s="31"/>
      <c r="D46" s="32" t="s">
        <v>93</v>
      </c>
      <c r="E46" s="27"/>
      <c r="F46" s="48">
        <f>SUM(F42:F45)</f>
        <v>6408.08133577977</v>
      </c>
      <c r="G46" s="48">
        <f>SUM(G42:G45)</f>
        <v>1191.7599412844</v>
      </c>
      <c r="H46" s="30">
        <f>SUM(H42:H45)</f>
        <v>6408.08133577977</v>
      </c>
      <c r="J46" s="6"/>
      <c r="K46" s="67"/>
      <c r="L46" s="1"/>
      <c r="M46" s="1"/>
      <c r="N46" s="1"/>
    </row>
    <row r="47" s="4" customFormat="1" ht="18" customHeight="1" spans="1:14">
      <c r="A47" s="5"/>
      <c r="C47" s="5"/>
      <c r="D47" s="11" t="s">
        <v>88</v>
      </c>
      <c r="E47" s="52">
        <v>0.0003</v>
      </c>
      <c r="F47" s="12">
        <f>G11*E47</f>
        <v>173.971167</v>
      </c>
      <c r="G47" s="12">
        <f>G8*E47</f>
        <v>17.397567</v>
      </c>
      <c r="H47" s="3"/>
      <c r="J47" s="6"/>
      <c r="K47" s="67"/>
      <c r="L47" s="1"/>
      <c r="M47" s="1"/>
      <c r="N47" s="1"/>
    </row>
    <row r="48" s="4" customFormat="1" ht="18" customHeight="1" spans="1:14">
      <c r="A48" s="5"/>
      <c r="C48" s="5"/>
      <c r="D48" s="11" t="s">
        <v>90</v>
      </c>
      <c r="E48" s="52">
        <v>0.0006</v>
      </c>
      <c r="F48" s="12">
        <f>B11*E48</f>
        <v>319.213150458716</v>
      </c>
      <c r="G48" s="12">
        <f>B8*E48</f>
        <v>31.9221412844037</v>
      </c>
      <c r="H48" s="3"/>
      <c r="J48" s="6"/>
      <c r="K48" s="67"/>
      <c r="L48" s="1"/>
      <c r="M48" s="1"/>
      <c r="N48" s="1"/>
    </row>
    <row r="49" s="4" customFormat="1" ht="18" customHeight="1" spans="1:14">
      <c r="A49" s="5"/>
      <c r="C49" s="5"/>
      <c r="D49" s="19" t="s">
        <v>93</v>
      </c>
      <c r="E49" s="41"/>
      <c r="F49" s="53">
        <f>F48+F47</f>
        <v>493.184317458715</v>
      </c>
      <c r="G49" s="53">
        <f>SUM(G47:G48)</f>
        <v>49.3197082844037</v>
      </c>
      <c r="H49" s="3"/>
      <c r="J49" s="6"/>
      <c r="K49" s="67"/>
      <c r="L49" s="1"/>
      <c r="M49" s="1"/>
      <c r="N49" s="1"/>
    </row>
    <row r="50" s="4" customFormat="1" ht="18" customHeight="1" spans="1:14">
      <c r="A50" s="5"/>
      <c r="C50" s="5"/>
      <c r="D50" s="19" t="s">
        <v>22</v>
      </c>
      <c r="E50" s="29"/>
      <c r="F50" s="53">
        <f>F46+F49</f>
        <v>6901.26565323848</v>
      </c>
      <c r="G50" s="53">
        <f>G46+G49</f>
        <v>1241.07964956881</v>
      </c>
      <c r="H50" s="3"/>
      <c r="J50" s="6"/>
      <c r="K50" s="67"/>
      <c r="L50" s="1"/>
      <c r="M50" s="1"/>
      <c r="N50" s="1"/>
    </row>
    <row r="51" s="4" customFormat="1" ht="18" customHeight="1" spans="1:14">
      <c r="A51" s="5"/>
      <c r="C51" s="5"/>
      <c r="D51" s="29" t="s">
        <v>85</v>
      </c>
      <c r="E51" s="41">
        <v>0.01</v>
      </c>
      <c r="F51" s="53">
        <f>G11*E51</f>
        <v>5799.0389</v>
      </c>
      <c r="G51" s="53">
        <f>G8*E51</f>
        <v>579.9189</v>
      </c>
      <c r="H51" s="3"/>
      <c r="J51" s="6"/>
      <c r="K51" s="67"/>
      <c r="L51" s="1"/>
      <c r="M51" s="1"/>
      <c r="N51" s="1"/>
    </row>
    <row r="52" s="3" customFormat="1" ht="18" customHeight="1" spans="1:14">
      <c r="A52" s="5"/>
      <c r="B52" s="4"/>
      <c r="C52" s="5"/>
      <c r="F52" s="4"/>
      <c r="G52" s="4"/>
      <c r="I52" s="4"/>
      <c r="J52" s="6"/>
      <c r="K52" s="67"/>
      <c r="L52" s="1"/>
      <c r="M52" s="1"/>
      <c r="N52" s="1"/>
    </row>
    <row r="53" s="3" customFormat="1" ht="18" customHeight="1" spans="1:14">
      <c r="A53" s="5"/>
      <c r="B53" s="4"/>
      <c r="C53" s="5"/>
      <c r="F53" s="4"/>
      <c r="G53" s="4"/>
      <c r="I53" s="4"/>
      <c r="J53" s="6"/>
      <c r="K53" s="67"/>
      <c r="L53" s="1"/>
      <c r="M53" s="1"/>
      <c r="N53" s="1"/>
    </row>
    <row r="54" s="3" customFormat="1" ht="18" customHeight="1" spans="1:14">
      <c r="A54" s="5"/>
      <c r="B54" s="4"/>
      <c r="C54" s="5"/>
      <c r="F54" s="4"/>
      <c r="G54" s="4"/>
      <c r="I54" s="4"/>
      <c r="J54" s="6"/>
      <c r="K54" s="67"/>
      <c r="L54" s="1"/>
      <c r="M54" s="1"/>
      <c r="N54" s="1"/>
    </row>
    <row r="55" s="3" customFormat="1" spans="1:14">
      <c r="A55" s="5"/>
      <c r="B55" s="4"/>
      <c r="C55" s="5"/>
      <c r="F55" s="4"/>
      <c r="G55" s="4"/>
      <c r="I55" s="4"/>
      <c r="J55" s="6"/>
      <c r="K55" s="67"/>
      <c r="L55" s="1"/>
      <c r="M55" s="1"/>
      <c r="N55" s="1"/>
    </row>
    <row r="56" s="3" customFormat="1" spans="1:14">
      <c r="A56" s="5"/>
      <c r="B56" s="4"/>
      <c r="C56" s="5"/>
      <c r="F56" s="4"/>
      <c r="G56" s="4"/>
      <c r="I56" s="4"/>
      <c r="J56" s="6"/>
      <c r="K56" s="67"/>
      <c r="L56" s="1"/>
      <c r="M56" s="1"/>
      <c r="N56" s="1"/>
    </row>
    <row r="57" s="3" customFormat="1" spans="1:14">
      <c r="A57" s="5"/>
      <c r="B57" s="4"/>
      <c r="C57" s="5"/>
      <c r="F57" s="4"/>
      <c r="G57" s="4"/>
      <c r="I57" s="4"/>
      <c r="J57" s="6"/>
      <c r="K57" s="67"/>
      <c r="L57" s="1"/>
      <c r="M57" s="1"/>
      <c r="N57" s="1"/>
    </row>
    <row r="58" s="3" customFormat="1" spans="1:14">
      <c r="A58" s="5"/>
      <c r="B58" s="4"/>
      <c r="C58" s="5"/>
      <c r="F58" s="4"/>
      <c r="G58" s="4"/>
      <c r="I58" s="4"/>
      <c r="J58" s="6"/>
      <c r="K58" s="67"/>
      <c r="L58" s="1"/>
      <c r="M58" s="1"/>
      <c r="N58" s="1"/>
    </row>
    <row r="59" s="3" customFormat="1" spans="1:14">
      <c r="A59" s="5"/>
      <c r="B59" s="4"/>
      <c r="C59" s="5"/>
      <c r="F59" s="4"/>
      <c r="G59" s="4"/>
      <c r="I59" s="4"/>
      <c r="J59" s="6"/>
      <c r="K59" s="67"/>
      <c r="L59" s="1"/>
      <c r="M59" s="1"/>
      <c r="N59" s="1"/>
    </row>
    <row r="60" s="3" customFormat="1" spans="1:14">
      <c r="A60" s="5"/>
      <c r="B60" s="4"/>
      <c r="C60" s="5"/>
      <c r="F60" s="4"/>
      <c r="G60" s="4"/>
      <c r="I60" s="4"/>
      <c r="J60" s="6"/>
      <c r="K60" s="67"/>
      <c r="L60" s="1"/>
      <c r="M60" s="1"/>
      <c r="N60" s="1"/>
    </row>
    <row r="61" s="3" customFormat="1" spans="1:14">
      <c r="A61" s="5"/>
      <c r="B61" s="4"/>
      <c r="C61" s="5"/>
      <c r="F61" s="4"/>
      <c r="G61" s="4"/>
      <c r="I61" s="4"/>
      <c r="J61" s="6"/>
      <c r="K61" s="67"/>
      <c r="L61" s="1"/>
      <c r="M61" s="1"/>
      <c r="N61" s="1"/>
    </row>
    <row r="62" s="3" customFormat="1" spans="1:14">
      <c r="A62" s="5"/>
      <c r="B62" s="4"/>
      <c r="C62" s="5"/>
      <c r="F62" s="4"/>
      <c r="G62" s="4"/>
      <c r="I62" s="4"/>
      <c r="J62" s="6"/>
      <c r="K62" s="6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6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6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6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6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6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6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6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67"/>
      <c r="L70" s="1"/>
      <c r="M70" s="1"/>
      <c r="N70" s="1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K34" sqref="K34"/>
    </sheetView>
  </sheetViews>
  <sheetFormatPr defaultColWidth="9" defaultRowHeight="11.25"/>
  <cols>
    <col min="1" max="1" width="10.775" style="5" customWidth="1"/>
    <col min="2" max="2" width="13.108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4.1083333333333" style="4" customWidth="1"/>
    <col min="8" max="8" width="9.6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2.775" style="1" customWidth="1"/>
    <col min="13" max="13" width="6" style="1" customWidth="1"/>
    <col min="14" max="14" width="5.66666666666667" style="1" customWidth="1"/>
    <col min="15" max="16" width="9.66666666666667" style="5"/>
    <col min="17" max="16384" width="9" style="5"/>
  </cols>
  <sheetData>
    <row r="1" s="1" customFormat="1" ht="21.9" customHeight="1" spans="1:14">
      <c r="A1" s="7" t="s">
        <v>119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  <c r="M1"/>
      <c r="N1"/>
    </row>
    <row r="2" s="1" customFormat="1" ht="18" customHeight="1" spans="1:14">
      <c r="A2" s="9" t="s">
        <v>1</v>
      </c>
      <c r="B2" s="10">
        <v>43462</v>
      </c>
      <c r="C2" s="11" t="s">
        <v>2</v>
      </c>
      <c r="D2" s="12">
        <v>393000</v>
      </c>
      <c r="E2" s="13" t="s">
        <v>3</v>
      </c>
      <c r="F2" s="14" t="s">
        <v>4</v>
      </c>
      <c r="G2" s="15" t="s">
        <v>5</v>
      </c>
      <c r="H2" s="16" t="s">
        <v>6</v>
      </c>
      <c r="I2" s="54"/>
      <c r="J2" s="55"/>
      <c r="K2" s="18"/>
      <c r="L2" s="18"/>
      <c r="M2"/>
      <c r="N2"/>
    </row>
    <row r="3" s="1" customFormat="1" ht="18" customHeight="1" spans="1:14">
      <c r="A3" s="9" t="s">
        <v>7</v>
      </c>
      <c r="B3" s="17"/>
      <c r="C3" s="11" t="s">
        <v>8</v>
      </c>
      <c r="D3" s="11">
        <v>346368.13</v>
      </c>
      <c r="E3" s="3"/>
      <c r="F3" s="4"/>
      <c r="G3" s="4"/>
      <c r="H3" s="18"/>
      <c r="I3" s="56"/>
      <c r="J3" s="18"/>
      <c r="K3" s="18"/>
      <c r="L3" s="18"/>
      <c r="M3"/>
      <c r="N3"/>
    </row>
    <row r="4" s="1" customFormat="1" ht="18" customHeight="1" spans="1:14">
      <c r="A4" s="5" t="s">
        <v>9</v>
      </c>
      <c r="B4" s="4"/>
      <c r="C4" s="3"/>
      <c r="D4" s="3"/>
      <c r="E4" s="3"/>
      <c r="F4" s="4"/>
      <c r="G4" s="4"/>
      <c r="H4" s="18"/>
      <c r="I4" s="56"/>
      <c r="J4" s="18"/>
      <c r="K4" s="18"/>
      <c r="L4" s="18"/>
      <c r="M4"/>
      <c r="N4"/>
    </row>
    <row r="5" s="1" customFormat="1" ht="18" customHeight="1" spans="1:14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/>
      <c r="L5"/>
      <c r="M5"/>
      <c r="N5"/>
    </row>
    <row r="6" s="1" customFormat="1" ht="18" customHeight="1" spans="1:15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/>
      <c r="L6"/>
      <c r="M6"/>
      <c r="N6"/>
      <c r="O6" s="1">
        <f>F7/0.13</f>
        <v>197994.283697953</v>
      </c>
    </row>
    <row r="7" s="1" customFormat="1" ht="18" customHeight="1" spans="1:16">
      <c r="A7" s="22">
        <v>43817</v>
      </c>
      <c r="B7" s="11">
        <f t="shared" ref="B7:B10" si="0">G7/(1+C7+E7)</f>
        <v>285991.743119266</v>
      </c>
      <c r="C7" s="23"/>
      <c r="D7" s="24">
        <f t="shared" ref="D7:D10" si="1">G7/(1+E7+C7)*C7</f>
        <v>0</v>
      </c>
      <c r="E7" s="25">
        <v>0.09</v>
      </c>
      <c r="F7" s="11">
        <f t="shared" ref="F7:F10" si="2">G7/(1+C7+E7)*E7</f>
        <v>25739.2568807339</v>
      </c>
      <c r="G7" s="26">
        <v>311731</v>
      </c>
      <c r="H7" s="22">
        <v>43908</v>
      </c>
      <c r="I7" s="11">
        <v>311731</v>
      </c>
      <c r="J7" s="57" t="s">
        <v>98</v>
      </c>
      <c r="K7" t="s">
        <v>95</v>
      </c>
      <c r="L7"/>
      <c r="M7"/>
      <c r="N7"/>
      <c r="P7" s="1">
        <f>O6*1.13</f>
        <v>223733.540578687</v>
      </c>
    </row>
    <row r="8" s="1" customFormat="1" ht="18" customHeight="1" spans="1:14">
      <c r="A8" s="22">
        <v>44216</v>
      </c>
      <c r="B8" s="11">
        <f t="shared" si="0"/>
        <v>31777.1834862385</v>
      </c>
      <c r="C8" s="25">
        <v>0.02</v>
      </c>
      <c r="D8" s="24">
        <f t="shared" si="1"/>
        <v>635.543669724771</v>
      </c>
      <c r="E8" s="25">
        <v>0.07</v>
      </c>
      <c r="F8" s="11">
        <f t="shared" si="2"/>
        <v>2224.4028440367</v>
      </c>
      <c r="G8" s="26">
        <v>34637.13</v>
      </c>
      <c r="H8" s="22">
        <v>44449</v>
      </c>
      <c r="I8" s="11">
        <v>34637.13</v>
      </c>
      <c r="J8" s="57" t="s">
        <v>21</v>
      </c>
      <c r="K8"/>
      <c r="L8"/>
      <c r="M8"/>
      <c r="N8"/>
    </row>
    <row r="9" s="1" customFormat="1" ht="18" customHeight="1" spans="1:14">
      <c r="A9" s="22"/>
      <c r="B9" s="11"/>
      <c r="C9" s="25"/>
      <c r="D9" s="24"/>
      <c r="E9" s="25"/>
      <c r="F9" s="11"/>
      <c r="G9" s="26"/>
      <c r="H9" s="22"/>
      <c r="I9" s="11"/>
      <c r="J9" s="57"/>
      <c r="K9"/>
      <c r="L9"/>
      <c r="M9"/>
      <c r="N9"/>
    </row>
    <row r="10" s="1" customFormat="1" ht="18" customHeight="1" spans="1:14">
      <c r="A10" s="22"/>
      <c r="B10" s="11"/>
      <c r="C10" s="23"/>
      <c r="D10" s="24"/>
      <c r="E10" s="23"/>
      <c r="F10" s="11"/>
      <c r="G10" s="26"/>
      <c r="H10" s="22"/>
      <c r="I10" s="11"/>
      <c r="J10" s="57"/>
      <c r="K10"/>
      <c r="L10"/>
      <c r="M10"/>
      <c r="N10"/>
    </row>
    <row r="11" s="1" customFormat="1" ht="18" customHeight="1" spans="1:14">
      <c r="A11" s="27" t="s">
        <v>22</v>
      </c>
      <c r="B11" s="28">
        <f t="shared" ref="B11:G11" si="3">SUM(B7:B10)</f>
        <v>317768.926605505</v>
      </c>
      <c r="C11" s="29"/>
      <c r="D11" s="29">
        <f t="shared" si="3"/>
        <v>635.543669724771</v>
      </c>
      <c r="E11" s="29"/>
      <c r="F11" s="30">
        <f t="shared" si="3"/>
        <v>27963.6597247706</v>
      </c>
      <c r="G11" s="29">
        <f t="shared" si="3"/>
        <v>346368.13</v>
      </c>
      <c r="H11" s="31"/>
      <c r="I11" s="29">
        <f>SUM(I7:I10)</f>
        <v>346368.13</v>
      </c>
      <c r="J11" s="31"/>
      <c r="K11"/>
      <c r="L11"/>
      <c r="M11"/>
      <c r="N11"/>
    </row>
    <row r="12" s="1" customFormat="1" ht="18" customHeight="1" spans="1:14">
      <c r="A12" s="5" t="s">
        <v>23</v>
      </c>
      <c r="B12" s="4"/>
      <c r="C12" s="3"/>
      <c r="D12" s="3"/>
      <c r="E12" s="3"/>
      <c r="F12" s="4"/>
      <c r="G12" s="4"/>
      <c r="H12" s="3"/>
      <c r="I12" s="4"/>
      <c r="J12" s="3"/>
      <c r="K12" s="3"/>
      <c r="L12" s="6"/>
      <c r="M12"/>
      <c r="N12"/>
    </row>
    <row r="13" s="1" customFormat="1" ht="18" customHeight="1" spans="1:15">
      <c r="A13" s="32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8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2" customFormat="1" ht="18" customHeight="1" spans="1:17">
      <c r="A14" s="33">
        <v>43800</v>
      </c>
      <c r="B14" s="11">
        <f>ROUND(G14/(1+E14),2)</f>
        <v>219991.46</v>
      </c>
      <c r="C14" s="34"/>
      <c r="D14" s="35"/>
      <c r="E14" s="36">
        <v>0.13</v>
      </c>
      <c r="F14" s="11">
        <f>ROUND(G14/(1+E14)*E14,2)</f>
        <v>28598.89</v>
      </c>
      <c r="G14" s="26">
        <v>248590.35</v>
      </c>
      <c r="H14" s="22"/>
      <c r="I14" s="11"/>
      <c r="J14" s="57"/>
      <c r="K14" s="59" t="s">
        <v>105</v>
      </c>
      <c r="L14" s="60" t="s">
        <v>120</v>
      </c>
      <c r="M14" s="61" t="s">
        <v>107</v>
      </c>
      <c r="N14" s="62"/>
      <c r="O14" s="60"/>
      <c r="Q14" s="66"/>
    </row>
    <row r="15" s="2" customFormat="1" ht="18" customHeight="1" spans="1:15">
      <c r="A15" s="33">
        <v>43891</v>
      </c>
      <c r="B15" s="37">
        <f t="shared" ref="B15:B30" si="4">ROUND(G15/(1+E15),2)</f>
        <v>2545</v>
      </c>
      <c r="C15" s="38"/>
      <c r="D15" s="39"/>
      <c r="E15" s="40"/>
      <c r="F15" s="37">
        <f t="shared" ref="F15:F30" si="5">ROUND(G15/(1+E15)*E15,2)</f>
        <v>0</v>
      </c>
      <c r="G15" s="26">
        <v>2545</v>
      </c>
      <c r="H15" s="22"/>
      <c r="I15" s="11"/>
      <c r="J15" s="57"/>
      <c r="K15" s="59" t="s">
        <v>121</v>
      </c>
      <c r="L15" s="60"/>
      <c r="M15" s="62"/>
      <c r="N15" s="62"/>
      <c r="O15" s="60"/>
    </row>
    <row r="16" s="2" customFormat="1" ht="18" customHeight="1" spans="1:15">
      <c r="A16" s="33">
        <v>43891</v>
      </c>
      <c r="B16" s="37">
        <f t="shared" si="4"/>
        <v>204</v>
      </c>
      <c r="C16" s="38"/>
      <c r="D16" s="39"/>
      <c r="E16" s="40"/>
      <c r="F16" s="37">
        <f t="shared" si="5"/>
        <v>0</v>
      </c>
      <c r="G16" s="26">
        <v>204</v>
      </c>
      <c r="H16" s="22"/>
      <c r="I16" s="11"/>
      <c r="J16" s="57"/>
      <c r="K16" s="59" t="s">
        <v>122</v>
      </c>
      <c r="L16" s="60"/>
      <c r="M16" s="62"/>
      <c r="N16" s="62"/>
      <c r="O16" s="60"/>
    </row>
    <row r="17" s="2" customFormat="1" ht="18" customHeight="1" spans="1:15">
      <c r="A17" s="33">
        <v>43891</v>
      </c>
      <c r="B17" s="37">
        <f t="shared" si="4"/>
        <v>9900</v>
      </c>
      <c r="C17" s="38"/>
      <c r="D17" s="39" t="s">
        <v>61</v>
      </c>
      <c r="E17" s="40"/>
      <c r="F17" s="37">
        <f t="shared" si="5"/>
        <v>0</v>
      </c>
      <c r="G17" s="26">
        <v>9900</v>
      </c>
      <c r="H17" s="22"/>
      <c r="I17" s="11"/>
      <c r="J17" s="57"/>
      <c r="K17" s="59" t="s">
        <v>62</v>
      </c>
      <c r="L17" s="60"/>
      <c r="M17" s="62"/>
      <c r="N17" s="62"/>
      <c r="O17" s="60"/>
    </row>
    <row r="18" s="2" customFormat="1" ht="18" customHeight="1" spans="1:15">
      <c r="A18" s="33">
        <v>43891</v>
      </c>
      <c r="B18" s="37">
        <f t="shared" si="4"/>
        <v>39775</v>
      </c>
      <c r="C18" s="38"/>
      <c r="D18" s="39" t="s">
        <v>61</v>
      </c>
      <c r="E18" s="40"/>
      <c r="F18" s="37">
        <f t="shared" si="5"/>
        <v>0</v>
      </c>
      <c r="G18" s="26">
        <v>39775</v>
      </c>
      <c r="H18" s="22"/>
      <c r="I18" s="11"/>
      <c r="J18" s="57"/>
      <c r="K18" s="59" t="s">
        <v>112</v>
      </c>
      <c r="L18" s="60"/>
      <c r="M18" s="62" t="s">
        <v>52</v>
      </c>
      <c r="N18" s="62"/>
      <c r="O18" s="60"/>
    </row>
    <row r="19" s="2" customFormat="1" ht="18" customHeight="1" spans="1:15">
      <c r="A19" s="33"/>
      <c r="B19" s="37">
        <f t="shared" si="4"/>
        <v>0</v>
      </c>
      <c r="C19" s="38"/>
      <c r="D19" s="39"/>
      <c r="E19" s="40"/>
      <c r="F19" s="37">
        <f t="shared" si="5"/>
        <v>0</v>
      </c>
      <c r="G19" s="26"/>
      <c r="H19" s="22">
        <v>43924</v>
      </c>
      <c r="I19" s="11">
        <v>17991.65</v>
      </c>
      <c r="J19" s="57"/>
      <c r="K19" s="52" t="s">
        <v>66</v>
      </c>
      <c r="L19" s="31"/>
      <c r="M19" s="57"/>
      <c r="N19" s="57"/>
      <c r="O19" s="31" t="s">
        <v>67</v>
      </c>
    </row>
    <row r="20" s="2" customFormat="1" ht="18" customHeight="1" spans="1:15">
      <c r="A20" s="33"/>
      <c r="B20" s="37">
        <f t="shared" si="4"/>
        <v>0</v>
      </c>
      <c r="C20" s="38"/>
      <c r="D20" s="39"/>
      <c r="E20" s="40"/>
      <c r="F20" s="37">
        <f t="shared" si="5"/>
        <v>0</v>
      </c>
      <c r="G20" s="26"/>
      <c r="H20" s="22">
        <v>43924</v>
      </c>
      <c r="I20" s="11">
        <v>248590.35</v>
      </c>
      <c r="J20" s="57"/>
      <c r="K20" s="52" t="s">
        <v>105</v>
      </c>
      <c r="L20" s="31" t="s">
        <v>123</v>
      </c>
      <c r="M20" s="57"/>
      <c r="N20" s="57"/>
      <c r="O20" s="31"/>
    </row>
    <row r="21" s="2" customFormat="1" ht="18" customHeight="1" spans="1:15">
      <c r="A21" s="33"/>
      <c r="B21" s="37">
        <f t="shared" si="4"/>
        <v>0</v>
      </c>
      <c r="C21" s="38"/>
      <c r="D21" s="39"/>
      <c r="E21" s="40"/>
      <c r="F21" s="37">
        <f t="shared" si="5"/>
        <v>0</v>
      </c>
      <c r="G21" s="26"/>
      <c r="H21" s="22"/>
      <c r="I21" s="11"/>
      <c r="J21" s="57"/>
      <c r="K21" s="59"/>
      <c r="L21" s="60"/>
      <c r="M21" s="62"/>
      <c r="N21" s="62"/>
      <c r="O21" s="60"/>
    </row>
    <row r="22" s="2" customFormat="1" ht="18" customHeight="1" spans="1:15">
      <c r="A22" s="33"/>
      <c r="B22" s="37">
        <f t="shared" si="4"/>
        <v>0</v>
      </c>
      <c r="C22" s="38"/>
      <c r="D22" s="39"/>
      <c r="E22" s="40"/>
      <c r="F22" s="37">
        <f t="shared" si="5"/>
        <v>0</v>
      </c>
      <c r="G22" s="26"/>
      <c r="H22" s="22"/>
      <c r="I22" s="11"/>
      <c r="J22" s="57"/>
      <c r="K22" s="59"/>
      <c r="L22" s="60"/>
      <c r="M22" s="62"/>
      <c r="N22" s="62"/>
      <c r="O22" s="60"/>
    </row>
    <row r="23" s="2" customFormat="1" ht="18" customHeight="1" spans="1:15">
      <c r="A23" s="33"/>
      <c r="B23" s="37">
        <f t="shared" si="4"/>
        <v>0</v>
      </c>
      <c r="C23" s="38"/>
      <c r="D23" s="39"/>
      <c r="E23" s="40"/>
      <c r="F23" s="37">
        <f t="shared" si="5"/>
        <v>0</v>
      </c>
      <c r="G23" s="26"/>
      <c r="H23" s="22"/>
      <c r="I23" s="11"/>
      <c r="J23" s="57"/>
      <c r="K23" s="59"/>
      <c r="L23" s="60"/>
      <c r="M23" s="62"/>
      <c r="N23" s="62"/>
      <c r="O23" s="60"/>
    </row>
    <row r="24" s="2" customFormat="1" ht="18" customHeight="1" spans="1:15">
      <c r="A24" s="33"/>
      <c r="B24" s="37">
        <f t="shared" si="4"/>
        <v>0</v>
      </c>
      <c r="C24" s="38"/>
      <c r="D24" s="39"/>
      <c r="E24" s="40"/>
      <c r="F24" s="37">
        <f t="shared" si="5"/>
        <v>0</v>
      </c>
      <c r="G24" s="26"/>
      <c r="H24" s="22"/>
      <c r="I24" s="11"/>
      <c r="J24" s="57"/>
      <c r="K24" s="59"/>
      <c r="L24" s="60"/>
      <c r="M24" s="62"/>
      <c r="N24" s="62"/>
      <c r="O24" s="60"/>
    </row>
    <row r="25" s="2" customFormat="1" ht="18" customHeight="1" spans="1:15">
      <c r="A25" s="33"/>
      <c r="B25" s="37">
        <f t="shared" si="4"/>
        <v>0</v>
      </c>
      <c r="C25" s="38"/>
      <c r="D25" s="39"/>
      <c r="E25" s="40"/>
      <c r="F25" s="37">
        <f t="shared" si="5"/>
        <v>0</v>
      </c>
      <c r="G25" s="26"/>
      <c r="H25" s="22"/>
      <c r="I25" s="11"/>
      <c r="J25" s="57"/>
      <c r="K25" s="52"/>
      <c r="L25" s="31"/>
      <c r="M25" s="57"/>
      <c r="N25" s="57"/>
      <c r="O25" s="31"/>
    </row>
    <row r="26" s="2" customFormat="1" ht="18" customHeight="1" spans="1:15">
      <c r="A26" s="33"/>
      <c r="B26" s="37">
        <f t="shared" si="4"/>
        <v>0</v>
      </c>
      <c r="C26" s="38"/>
      <c r="D26" s="39"/>
      <c r="E26" s="40"/>
      <c r="F26" s="37">
        <f t="shared" si="5"/>
        <v>0</v>
      </c>
      <c r="G26" s="26"/>
      <c r="H26" s="22"/>
      <c r="I26" s="11"/>
      <c r="J26" s="57"/>
      <c r="K26" s="52"/>
      <c r="L26" s="31"/>
      <c r="M26" s="57"/>
      <c r="N26" s="57"/>
      <c r="O26" s="31"/>
    </row>
    <row r="27" s="2" customFormat="1" ht="18" customHeight="1" spans="1:15">
      <c r="A27" s="33"/>
      <c r="B27" s="37">
        <f t="shared" si="4"/>
        <v>0</v>
      </c>
      <c r="C27" s="38"/>
      <c r="D27" s="39"/>
      <c r="E27" s="40"/>
      <c r="F27" s="37">
        <f t="shared" si="5"/>
        <v>0</v>
      </c>
      <c r="G27" s="26"/>
      <c r="H27" s="22" t="s">
        <v>68</v>
      </c>
      <c r="I27" s="11">
        <v>200</v>
      </c>
      <c r="J27" s="57" t="s">
        <v>69</v>
      </c>
      <c r="K27" s="52" t="s">
        <v>70</v>
      </c>
      <c r="L27" s="31"/>
      <c r="M27" s="57"/>
      <c r="N27" s="57"/>
      <c r="O27" s="31"/>
    </row>
    <row r="28" s="2" customFormat="1" ht="18" customHeight="1" spans="1:15">
      <c r="A28" s="33"/>
      <c r="B28" s="37">
        <f t="shared" si="4"/>
        <v>0</v>
      </c>
      <c r="C28" s="38"/>
      <c r="D28" s="39"/>
      <c r="E28" s="40"/>
      <c r="F28" s="37">
        <f t="shared" si="5"/>
        <v>0</v>
      </c>
      <c r="G28" s="26"/>
      <c r="H28" s="22" t="s">
        <v>68</v>
      </c>
      <c r="I28" s="11">
        <v>3118</v>
      </c>
      <c r="J28" s="57" t="s">
        <v>69</v>
      </c>
      <c r="K28" s="59" t="s">
        <v>71</v>
      </c>
      <c r="L28" s="60"/>
      <c r="M28" s="62"/>
      <c r="N28" s="62"/>
      <c r="O28" s="60"/>
    </row>
    <row r="29" s="2" customFormat="1" ht="18" customHeight="1" spans="1:15">
      <c r="A29" s="33"/>
      <c r="B29" s="37">
        <f t="shared" si="4"/>
        <v>0</v>
      </c>
      <c r="C29" s="38"/>
      <c r="D29" s="39"/>
      <c r="E29" s="40"/>
      <c r="F29" s="37">
        <f t="shared" si="5"/>
        <v>0</v>
      </c>
      <c r="G29" s="26"/>
      <c r="H29" s="22" t="s">
        <v>68</v>
      </c>
      <c r="I29" s="11">
        <v>266</v>
      </c>
      <c r="J29" s="57" t="s">
        <v>69</v>
      </c>
      <c r="K29" s="59" t="s">
        <v>72</v>
      </c>
      <c r="L29" s="60"/>
      <c r="M29" s="62"/>
      <c r="N29" s="62"/>
      <c r="O29" s="60"/>
    </row>
    <row r="30" s="2" customFormat="1" ht="18" customHeight="1" spans="1:15">
      <c r="A30" s="33"/>
      <c r="B30" s="37">
        <f t="shared" si="4"/>
        <v>41565</v>
      </c>
      <c r="C30" s="38"/>
      <c r="D30" s="39"/>
      <c r="E30" s="40"/>
      <c r="F30" s="37">
        <f t="shared" si="5"/>
        <v>0</v>
      </c>
      <c r="G30" s="26">
        <f>41565</f>
        <v>41565</v>
      </c>
      <c r="H30" s="22" t="s">
        <v>68</v>
      </c>
      <c r="I30" s="11">
        <f>G30</f>
        <v>41565</v>
      </c>
      <c r="J30" s="57" t="s">
        <v>69</v>
      </c>
      <c r="K30" s="59" t="s">
        <v>124</v>
      </c>
      <c r="L30" s="60"/>
      <c r="M30" s="62"/>
      <c r="N30" s="62"/>
      <c r="O30" s="60"/>
    </row>
    <row r="31" s="1" customFormat="1" ht="18" customHeight="1" spans="1:15">
      <c r="A31" s="29" t="s">
        <v>22</v>
      </c>
      <c r="B31" s="28">
        <f>SUM(B14:B30)</f>
        <v>313980.46</v>
      </c>
      <c r="C31" s="29"/>
      <c r="D31" s="41"/>
      <c r="E31" s="41"/>
      <c r="F31" s="30">
        <f>SUM(F14:F30)</f>
        <v>28598.89</v>
      </c>
      <c r="G31" s="42">
        <f>SUM(G14:G30)</f>
        <v>342579.35</v>
      </c>
      <c r="H31" s="43"/>
      <c r="I31" s="29">
        <f>SUM(I14:I30)</f>
        <v>311731</v>
      </c>
      <c r="J31" s="63"/>
      <c r="K31" s="41"/>
      <c r="L31" s="31"/>
      <c r="M31" s="57"/>
      <c r="N31" s="57"/>
      <c r="O31" s="31"/>
    </row>
    <row r="32" s="1" customFormat="1" ht="18" customHeight="1" spans="1:14">
      <c r="A32" s="44" t="s">
        <v>75</v>
      </c>
      <c r="B32" s="44">
        <f>B11*0.99</f>
        <v>314591.23733945</v>
      </c>
      <c r="C32" s="44"/>
      <c r="D32" s="45"/>
      <c r="E32" s="45"/>
      <c r="F32" s="46"/>
      <c r="G32" s="44">
        <f>G11-G31</f>
        <v>3788.78000000003</v>
      </c>
      <c r="H32" s="21" t="s">
        <v>76</v>
      </c>
      <c r="I32" s="29">
        <f>I11-I31</f>
        <v>34637.13</v>
      </c>
      <c r="K32" s="64"/>
      <c r="M32" s="65"/>
      <c r="N32" s="65"/>
    </row>
    <row r="33" s="1" customFormat="1" ht="18" customHeight="1" spans="1:14">
      <c r="A33" s="44" t="s">
        <v>77</v>
      </c>
      <c r="B33" s="44">
        <f>B32-B31</f>
        <v>610.777339449502</v>
      </c>
      <c r="C33" s="44"/>
      <c r="D33" s="45"/>
      <c r="E33" s="45"/>
      <c r="F33" s="46"/>
      <c r="G33" s="46"/>
      <c r="H33" s="47"/>
      <c r="I33" s="46"/>
      <c r="K33" s="64"/>
      <c r="M33" s="65"/>
      <c r="N33" s="65"/>
    </row>
    <row r="34" s="3" customFormat="1" ht="18" customHeight="1" spans="1:14">
      <c r="A34" s="5" t="s">
        <v>78</v>
      </c>
      <c r="B34" s="4"/>
      <c r="C34" s="5"/>
      <c r="F34" s="4"/>
      <c r="G34" s="4"/>
      <c r="I34" s="4"/>
      <c r="J34" s="6"/>
      <c r="K34" s="1"/>
      <c r="L34" s="1"/>
      <c r="M34" s="1"/>
      <c r="N34" s="1"/>
    </row>
    <row r="35" s="4" customFormat="1" ht="18" customHeight="1" spans="1:14">
      <c r="A35" s="21" t="s">
        <v>79</v>
      </c>
      <c r="B35" s="20" t="s">
        <v>80</v>
      </c>
      <c r="C35" s="31"/>
      <c r="D35" s="21" t="s">
        <v>79</v>
      </c>
      <c r="E35" s="19" t="s">
        <v>16</v>
      </c>
      <c r="F35" s="20" t="s">
        <v>80</v>
      </c>
      <c r="G35" s="12" t="s">
        <v>117</v>
      </c>
      <c r="H35" s="3"/>
      <c r="J35" s="6"/>
      <c r="K35" s="1"/>
      <c r="L35" s="1"/>
      <c r="M35" s="1"/>
      <c r="N35" s="1"/>
    </row>
    <row r="36" s="4" customFormat="1" ht="18" customHeight="1" spans="1:14">
      <c r="A36" s="31" t="s">
        <v>85</v>
      </c>
      <c r="B36" s="17">
        <f>(B32-B31)*0.25</f>
        <v>152.694334862375</v>
      </c>
      <c r="C36" s="31"/>
      <c r="D36" s="27" t="s">
        <v>86</v>
      </c>
      <c r="E36" s="21" t="s">
        <v>87</v>
      </c>
      <c r="F36" s="48">
        <f>F11-F31</f>
        <v>-635.230275229358</v>
      </c>
      <c r="G36" s="48">
        <f>D8</f>
        <v>635.543669724771</v>
      </c>
      <c r="H36" s="3"/>
      <c r="J36" s="6"/>
      <c r="K36" s="44"/>
      <c r="L36" s="1"/>
      <c r="M36" s="1"/>
      <c r="N36" s="1"/>
    </row>
    <row r="37" s="4" customFormat="1" ht="18" customHeight="1" spans="1:14">
      <c r="A37" s="31" t="s">
        <v>88</v>
      </c>
      <c r="B37" s="49"/>
      <c r="C37" s="31"/>
      <c r="D37" s="50" t="s">
        <v>89</v>
      </c>
      <c r="E37" s="13">
        <v>0.07</v>
      </c>
      <c r="F37" s="12">
        <f>F36*E37</f>
        <v>-44.4661192660551</v>
      </c>
      <c r="G37" s="12">
        <f>G36*E37</f>
        <v>44.4880568807339</v>
      </c>
      <c r="H37" s="3"/>
      <c r="J37" s="6"/>
      <c r="K37" s="1"/>
      <c r="L37" s="1"/>
      <c r="M37" s="1"/>
      <c r="N37" s="1"/>
    </row>
    <row r="38" s="4" customFormat="1" ht="18" customHeight="1" spans="1:14">
      <c r="A38" s="31" t="s">
        <v>90</v>
      </c>
      <c r="B38" s="49"/>
      <c r="C38" s="31"/>
      <c r="D38" s="50" t="s">
        <v>91</v>
      </c>
      <c r="E38" s="13">
        <v>0.03</v>
      </c>
      <c r="F38" s="12">
        <f>F36*E38</f>
        <v>-19.0569082568807</v>
      </c>
      <c r="G38" s="12">
        <f>G36*E38</f>
        <v>19.0663100917431</v>
      </c>
      <c r="H38" s="3"/>
      <c r="J38" s="6"/>
      <c r="K38" s="1"/>
      <c r="L38" s="1"/>
      <c r="M38" s="1"/>
      <c r="N38" s="1"/>
    </row>
    <row r="39" s="4" customFormat="1" ht="18" customHeight="1" spans="1:14">
      <c r="A39" s="31"/>
      <c r="B39" s="12"/>
      <c r="C39" s="31"/>
      <c r="D39" s="50" t="s">
        <v>92</v>
      </c>
      <c r="E39" s="13">
        <v>0.02</v>
      </c>
      <c r="F39" s="12">
        <f>F36*E39</f>
        <v>-12.7046055045872</v>
      </c>
      <c r="G39" s="12">
        <f>G36*E39</f>
        <v>12.7108733944954</v>
      </c>
      <c r="H39" s="3"/>
      <c r="J39" s="6"/>
      <c r="K39" s="1"/>
      <c r="L39" s="1"/>
      <c r="M39" s="1"/>
      <c r="N39" s="1"/>
    </row>
    <row r="40" s="4" customFormat="1" ht="18" customHeight="1" spans="1:14">
      <c r="A40" s="27" t="s">
        <v>93</v>
      </c>
      <c r="B40" s="51">
        <f>SUM(B36:B39)</f>
        <v>152.694334862375</v>
      </c>
      <c r="C40" s="31"/>
      <c r="D40" s="32" t="s">
        <v>93</v>
      </c>
      <c r="E40" s="27"/>
      <c r="F40" s="48">
        <f>SUM(F36:F39)</f>
        <v>-711.457908256881</v>
      </c>
      <c r="G40" s="48">
        <f>SUM(G36:G39)</f>
        <v>711.808910091743</v>
      </c>
      <c r="H40" s="3"/>
      <c r="J40" s="6"/>
      <c r="K40" s="1"/>
      <c r="L40" s="1"/>
      <c r="M40" s="1"/>
      <c r="N40" s="1"/>
    </row>
    <row r="41" s="4" customFormat="1" ht="18" customHeight="1" spans="1:14">
      <c r="A41" s="5"/>
      <c r="C41" s="5"/>
      <c r="D41" s="11" t="s">
        <v>88</v>
      </c>
      <c r="E41" s="52">
        <v>0.0003</v>
      </c>
      <c r="F41" s="12">
        <f>G11*E41</f>
        <v>103.910439</v>
      </c>
      <c r="G41" s="12">
        <f>G8*E41</f>
        <v>10.391139</v>
      </c>
      <c r="H41" s="3"/>
      <c r="J41" s="6"/>
      <c r="K41" s="1"/>
      <c r="L41" s="1"/>
      <c r="M41" s="1"/>
      <c r="N41" s="1"/>
    </row>
    <row r="42" s="4" customFormat="1" ht="18" customHeight="1" spans="1:14">
      <c r="A42" s="5"/>
      <c r="C42" s="5"/>
      <c r="D42" s="11" t="s">
        <v>90</v>
      </c>
      <c r="E42" s="52">
        <v>0.0006</v>
      </c>
      <c r="F42" s="12">
        <f>B11*E42</f>
        <v>190.661355963303</v>
      </c>
      <c r="G42" s="12">
        <f>B8*E42</f>
        <v>19.0663100917431</v>
      </c>
      <c r="H42" s="3"/>
      <c r="J42" s="6"/>
      <c r="K42" s="1"/>
      <c r="L42" s="1"/>
      <c r="M42" s="1"/>
      <c r="N42" s="1"/>
    </row>
    <row r="43" s="4" customFormat="1" ht="18" customHeight="1" spans="1:14">
      <c r="A43" s="5"/>
      <c r="C43" s="5"/>
      <c r="D43" s="19" t="s">
        <v>93</v>
      </c>
      <c r="E43" s="41"/>
      <c r="F43" s="53">
        <f>F42+F41</f>
        <v>294.571794963303</v>
      </c>
      <c r="G43" s="53">
        <f>SUM(G41:G42)</f>
        <v>29.4574490917431</v>
      </c>
      <c r="H43" s="3"/>
      <c r="J43" s="6"/>
      <c r="K43" s="1"/>
      <c r="L43" s="1"/>
      <c r="M43" s="1"/>
      <c r="N43" s="1"/>
    </row>
    <row r="44" s="4" customFormat="1" ht="18" customHeight="1" spans="1:14">
      <c r="A44" s="5"/>
      <c r="C44" s="5"/>
      <c r="D44" s="19" t="s">
        <v>22</v>
      </c>
      <c r="E44" s="29"/>
      <c r="F44" s="53">
        <f>F40+F43</f>
        <v>-416.886113293578</v>
      </c>
      <c r="G44" s="53">
        <f>G40+G43</f>
        <v>741.266359183486</v>
      </c>
      <c r="H44" s="3"/>
      <c r="J44" s="6"/>
      <c r="K44" s="1"/>
      <c r="L44" s="1"/>
      <c r="M44" s="1"/>
      <c r="N44" s="1"/>
    </row>
    <row r="45" s="4" customFormat="1" ht="18" customHeight="1" spans="1:14">
      <c r="A45" s="5"/>
      <c r="C45" s="5"/>
      <c r="D45" s="29" t="s">
        <v>85</v>
      </c>
      <c r="E45" s="41">
        <v>0.01</v>
      </c>
      <c r="F45" s="53">
        <f>G11*E45</f>
        <v>3463.6813</v>
      </c>
      <c r="G45" s="53">
        <f>G8*E45</f>
        <v>346.3713</v>
      </c>
      <c r="H45" s="3"/>
      <c r="J45" s="6"/>
      <c r="K45" s="1"/>
      <c r="L45" s="1"/>
      <c r="M45" s="1"/>
      <c r="N45" s="1"/>
    </row>
    <row r="46" s="3" customFormat="1" ht="18" customHeight="1" spans="1:14">
      <c r="A46" s="5"/>
      <c r="B46" s="4"/>
      <c r="C46" s="5"/>
      <c r="F46" s="4"/>
      <c r="G46" s="4"/>
      <c r="I46" s="4"/>
      <c r="J46" s="6"/>
      <c r="K46" s="1"/>
      <c r="L46" s="1"/>
      <c r="M46" s="1"/>
      <c r="N46" s="1"/>
    </row>
    <row r="47" s="3" customFormat="1" ht="18" customHeight="1" spans="1:14">
      <c r="A47" s="5"/>
      <c r="B47" s="4"/>
      <c r="C47" s="5"/>
      <c r="F47" s="4"/>
      <c r="G47" s="4"/>
      <c r="I47" s="4"/>
      <c r="J47" s="6"/>
      <c r="K47" s="1"/>
      <c r="L47" s="1"/>
      <c r="M47" s="1"/>
      <c r="N47" s="1"/>
    </row>
    <row r="48" s="3" customFormat="1" ht="18" customHeight="1" spans="1:14">
      <c r="A48" s="5"/>
      <c r="B48" s="4"/>
      <c r="C48" s="5"/>
      <c r="F48" s="4"/>
      <c r="G48" s="4"/>
      <c r="I48" s="4"/>
      <c r="J48" s="6"/>
      <c r="K48" s="1"/>
      <c r="L48" s="1"/>
      <c r="M48" s="1"/>
      <c r="N48" s="1"/>
    </row>
    <row r="49" s="3" customFormat="1" spans="1:14">
      <c r="A49" s="5"/>
      <c r="B49" s="4"/>
      <c r="C49" s="5"/>
      <c r="F49" s="4"/>
      <c r="G49" s="4"/>
      <c r="I49" s="4"/>
      <c r="J49" s="6"/>
      <c r="K49" s="1"/>
      <c r="L49" s="1"/>
      <c r="M49" s="1"/>
      <c r="N49" s="1"/>
    </row>
    <row r="50" s="3" customFormat="1" spans="1:14">
      <c r="A50" s="5"/>
      <c r="B50" s="4"/>
      <c r="C50" s="5"/>
      <c r="F50" s="4"/>
      <c r="G50" s="4"/>
      <c r="I50" s="4"/>
      <c r="J50" s="6"/>
      <c r="K50" s="1"/>
      <c r="L50" s="1"/>
      <c r="M50" s="1"/>
      <c r="N50" s="1"/>
    </row>
    <row r="51" s="3" customFormat="1" spans="1:14">
      <c r="A51" s="5"/>
      <c r="B51" s="4"/>
      <c r="C51" s="5"/>
      <c r="F51" s="4"/>
      <c r="G51" s="4"/>
      <c r="I51" s="4"/>
      <c r="J51" s="6"/>
      <c r="K51" s="1"/>
      <c r="L51" s="1"/>
      <c r="M51" s="1"/>
      <c r="N51" s="1"/>
    </row>
    <row r="52" s="3" customFormat="1" spans="1:14">
      <c r="A52" s="5"/>
      <c r="B52" s="4"/>
      <c r="C52" s="5"/>
      <c r="F52" s="4"/>
      <c r="G52" s="4"/>
      <c r="I52" s="4"/>
      <c r="J52" s="6"/>
      <c r="K52" s="1"/>
      <c r="L52" s="1"/>
      <c r="M52" s="1"/>
      <c r="N52" s="1"/>
    </row>
    <row r="53" s="3" customFormat="1" spans="1:14">
      <c r="A53" s="5"/>
      <c r="B53" s="4"/>
      <c r="C53" s="5"/>
      <c r="F53" s="4"/>
      <c r="G53" s="4"/>
      <c r="I53" s="4"/>
      <c r="J53" s="6"/>
      <c r="K53" s="1"/>
      <c r="L53" s="1"/>
      <c r="M53" s="1"/>
      <c r="N53" s="1"/>
    </row>
    <row r="54" s="3" customFormat="1" spans="1:14">
      <c r="A54" s="5"/>
      <c r="B54" s="4"/>
      <c r="C54" s="5"/>
      <c r="F54" s="4"/>
      <c r="G54" s="4"/>
      <c r="I54" s="4"/>
      <c r="J54" s="6"/>
      <c r="K54" s="1"/>
      <c r="L54" s="1"/>
      <c r="M54" s="1"/>
      <c r="N54" s="1"/>
    </row>
    <row r="55" s="3" customFormat="1" spans="1:14">
      <c r="A55" s="5"/>
      <c r="B55" s="4"/>
      <c r="C55" s="5"/>
      <c r="F55" s="4"/>
      <c r="G55" s="4"/>
      <c r="I55" s="4"/>
      <c r="J55" s="6"/>
      <c r="K55" s="1"/>
      <c r="L55" s="1"/>
      <c r="M55" s="1"/>
      <c r="N55" s="1"/>
    </row>
    <row r="56" s="3" customFormat="1" spans="1:14">
      <c r="A56" s="5"/>
      <c r="B56" s="4"/>
      <c r="C56" s="5"/>
      <c r="F56" s="4"/>
      <c r="G56" s="4"/>
      <c r="I56" s="4"/>
      <c r="J56" s="6"/>
      <c r="K56" s="1"/>
      <c r="L56" s="1"/>
      <c r="M56" s="1"/>
      <c r="N56" s="1"/>
    </row>
    <row r="57" s="3" customFormat="1" spans="1:14">
      <c r="A57" s="5"/>
      <c r="B57" s="4"/>
      <c r="C57" s="5"/>
      <c r="F57" s="4"/>
      <c r="G57" s="4"/>
      <c r="I57" s="4"/>
      <c r="J57" s="6"/>
      <c r="K57" s="1"/>
      <c r="L57" s="1"/>
      <c r="M57" s="1"/>
      <c r="N57" s="1"/>
    </row>
    <row r="58" s="3" customFormat="1" spans="1:14">
      <c r="A58" s="5"/>
      <c r="B58" s="4"/>
      <c r="C58" s="5"/>
      <c r="F58" s="4"/>
      <c r="G58" s="4"/>
      <c r="I58" s="4"/>
      <c r="J58" s="6"/>
      <c r="K58" s="1"/>
      <c r="L58" s="1"/>
      <c r="M58" s="1"/>
      <c r="N58" s="1"/>
    </row>
    <row r="59" s="3" customFormat="1" spans="1:14">
      <c r="A59" s="5"/>
      <c r="B59" s="4"/>
      <c r="C59" s="5"/>
      <c r="F59" s="4"/>
      <c r="G59" s="4"/>
      <c r="I59" s="4"/>
      <c r="J59" s="6"/>
      <c r="K59" s="1"/>
      <c r="L59" s="1"/>
      <c r="M59" s="1"/>
      <c r="N59" s="1"/>
    </row>
    <row r="60" s="3" customFormat="1" spans="1:14">
      <c r="A60" s="5"/>
      <c r="B60" s="4"/>
      <c r="C60" s="5"/>
      <c r="F60" s="4"/>
      <c r="G60" s="4"/>
      <c r="I60" s="4"/>
      <c r="J60" s="6"/>
      <c r="K60" s="1"/>
      <c r="L60" s="1"/>
      <c r="M60" s="1"/>
      <c r="N60" s="1"/>
    </row>
    <row r="61" s="3" customFormat="1" spans="1:14">
      <c r="A61" s="5"/>
      <c r="B61" s="4"/>
      <c r="C61" s="5"/>
      <c r="F61" s="4"/>
      <c r="G61" s="4"/>
      <c r="I61" s="4"/>
      <c r="J61" s="6"/>
      <c r="K61" s="1"/>
      <c r="L61" s="1"/>
      <c r="M61" s="1"/>
      <c r="N61" s="1"/>
    </row>
    <row r="62" s="3" customFormat="1" spans="1:14">
      <c r="A62" s="5"/>
      <c r="B62" s="4"/>
      <c r="C62" s="5"/>
      <c r="F62" s="4"/>
      <c r="G62" s="4"/>
      <c r="I62" s="4"/>
      <c r="J62" s="6"/>
      <c r="K62" s="1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1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1"/>
      <c r="L64" s="1"/>
      <c r="M64" s="1"/>
      <c r="N64" s="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庐江县石头镇三拐村标准化卫生室工程施工（小额）</vt:lpstr>
      <vt:lpstr>庐江县郭河镇2018年道路交通安全隐患整改工程</vt:lpstr>
      <vt:lpstr>庐江县石头镇2018年农村公路（夏屯路）生命安全防护工程（定点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2021-11-29T02:49:24Z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677645B3575444168AAEA59DD91504CE</vt:lpwstr>
  </property>
</Properties>
</file>